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File 75  ( MYT 5 - FY 2025-26 to 2029-30 Petition )\To MERC Final Petition-Upload\Data Gaps-1\Data gaps -I Reply Part III\DG Point 24\"/>
    </mc:Choice>
  </mc:AlternateContent>
  <xr:revisionPtr revIDLastSave="0" documentId="8_{830794D8-DEDA-4034-83C7-FA089F69512B}" xr6:coauthVersionLast="47" xr6:coauthVersionMax="47" xr10:uidLastSave="{00000000-0000-0000-0000-000000000000}"/>
  <bookViews>
    <workbookView xWindow="-108" yWindow="-108" windowWidth="23256" windowHeight="12456" activeTab="1" xr2:uid="{B0B00684-ACDB-4434-96B1-D9F858116927}"/>
  </bookViews>
  <sheets>
    <sheet name="KTPS" sheetId="2" r:id="rId1"/>
    <sheet name="Table 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" i="2" l="1"/>
  <c r="K54" i="2"/>
  <c r="J54" i="2"/>
  <c r="F54" i="2"/>
  <c r="E54" i="2"/>
  <c r="D54" i="2"/>
  <c r="L53" i="2"/>
  <c r="K53" i="2"/>
  <c r="J53" i="2"/>
  <c r="F53" i="2"/>
  <c r="E53" i="2"/>
  <c r="D53" i="2"/>
  <c r="J52" i="2"/>
  <c r="D52" i="2"/>
  <c r="L51" i="2"/>
  <c r="K51" i="2"/>
  <c r="J51" i="2"/>
  <c r="F51" i="2"/>
  <c r="E51" i="2"/>
  <c r="D51" i="2"/>
  <c r="J50" i="2"/>
  <c r="D50" i="2"/>
  <c r="L49" i="2"/>
  <c r="K49" i="2"/>
  <c r="J49" i="2"/>
  <c r="F49" i="2"/>
  <c r="E49" i="2"/>
  <c r="D49" i="2"/>
  <c r="J48" i="2"/>
  <c r="D48" i="2"/>
  <c r="L47" i="2"/>
  <c r="K47" i="2"/>
  <c r="J47" i="2"/>
  <c r="F47" i="2"/>
  <c r="E47" i="2"/>
  <c r="D47" i="2"/>
  <c r="J46" i="2"/>
  <c r="D46" i="2"/>
  <c r="L45" i="2"/>
  <c r="K45" i="2"/>
  <c r="J45" i="2"/>
  <c r="F45" i="2"/>
  <c r="E45" i="2"/>
  <c r="D45" i="2"/>
  <c r="J44" i="2"/>
  <c r="D44" i="2"/>
  <c r="L43" i="2"/>
  <c r="K43" i="2"/>
  <c r="J43" i="2"/>
  <c r="F43" i="2"/>
  <c r="E43" i="2"/>
  <c r="D43" i="2"/>
  <c r="J42" i="2"/>
  <c r="D42" i="2"/>
  <c r="L41" i="2"/>
  <c r="K41" i="2"/>
  <c r="J41" i="2"/>
  <c r="D41" i="2"/>
  <c r="J40" i="2"/>
  <c r="D40" i="2"/>
  <c r="L39" i="2"/>
  <c r="K39" i="2"/>
  <c r="J39" i="2"/>
  <c r="F39" i="2"/>
  <c r="E39" i="2"/>
  <c r="D39" i="2"/>
  <c r="J38" i="2"/>
  <c r="D38" i="2"/>
  <c r="L37" i="2"/>
  <c r="K37" i="2"/>
  <c r="J37" i="2"/>
  <c r="D37" i="2"/>
  <c r="J36" i="2"/>
  <c r="D36" i="2"/>
  <c r="L35" i="2"/>
  <c r="K35" i="2"/>
  <c r="J35" i="2"/>
  <c r="F35" i="2"/>
  <c r="E35" i="2"/>
  <c r="D35" i="2"/>
  <c r="R34" i="2"/>
  <c r="Q34" i="2"/>
  <c r="P34" i="2"/>
  <c r="J34" i="2"/>
  <c r="D34" i="2"/>
  <c r="R33" i="2"/>
  <c r="Q33" i="2"/>
  <c r="P33" i="2"/>
  <c r="L33" i="2"/>
  <c r="K33" i="2"/>
  <c r="J33" i="2"/>
  <c r="D33" i="2"/>
  <c r="R32" i="2"/>
  <c r="Q32" i="2"/>
  <c r="P32" i="2"/>
  <c r="J32" i="2"/>
  <c r="D32" i="2"/>
  <c r="R31" i="2"/>
  <c r="Q31" i="2"/>
  <c r="P31" i="2"/>
  <c r="L31" i="2"/>
  <c r="K31" i="2"/>
  <c r="J31" i="2"/>
  <c r="F31" i="2"/>
  <c r="E31" i="2"/>
  <c r="D31" i="2"/>
  <c r="R30" i="2"/>
  <c r="Q30" i="2"/>
  <c r="P30" i="2"/>
  <c r="J30" i="2"/>
  <c r="D30" i="2"/>
  <c r="R29" i="2"/>
  <c r="Q29" i="2"/>
  <c r="P29" i="2"/>
  <c r="L29" i="2"/>
  <c r="K29" i="2"/>
  <c r="J29" i="2"/>
  <c r="D29" i="2"/>
  <c r="R28" i="2"/>
  <c r="Q28" i="2"/>
  <c r="P28" i="2"/>
  <c r="J28" i="2"/>
  <c r="D28" i="2"/>
  <c r="R27" i="2"/>
  <c r="Q27" i="2"/>
  <c r="P27" i="2"/>
  <c r="L27" i="2"/>
  <c r="K27" i="2"/>
  <c r="J27" i="2"/>
  <c r="F27" i="2"/>
  <c r="E27" i="2"/>
  <c r="D27" i="2"/>
  <c r="R26" i="2"/>
  <c r="Q26" i="2"/>
  <c r="P26" i="2"/>
  <c r="L26" i="2"/>
  <c r="K26" i="2"/>
  <c r="J26" i="2"/>
  <c r="D26" i="2"/>
  <c r="R25" i="2"/>
  <c r="Q25" i="2"/>
  <c r="P25" i="2"/>
  <c r="J25" i="2"/>
  <c r="F25" i="2"/>
  <c r="E25" i="2"/>
  <c r="D25" i="2"/>
  <c r="P24" i="2"/>
  <c r="J24" i="2"/>
  <c r="D24" i="2"/>
  <c r="R23" i="2"/>
  <c r="Q23" i="2"/>
  <c r="P23" i="2"/>
  <c r="J23" i="2"/>
  <c r="F23" i="2"/>
  <c r="E23" i="2"/>
  <c r="D23" i="2"/>
  <c r="R22" i="2"/>
  <c r="Q22" i="2"/>
  <c r="P22" i="2"/>
  <c r="J22" i="2"/>
  <c r="D22" i="2"/>
  <c r="R21" i="2"/>
  <c r="Q21" i="2"/>
  <c r="P21" i="2"/>
  <c r="L21" i="2"/>
  <c r="K21" i="2"/>
  <c r="J21" i="2"/>
  <c r="F21" i="2"/>
  <c r="E21" i="2"/>
  <c r="D21" i="2"/>
  <c r="P20" i="2"/>
  <c r="J20" i="2"/>
  <c r="D20" i="2"/>
  <c r="R19" i="2"/>
  <c r="Q19" i="2"/>
  <c r="P19" i="2"/>
  <c r="L19" i="2"/>
  <c r="K19" i="2"/>
  <c r="J19" i="2"/>
  <c r="F19" i="2"/>
  <c r="E19" i="2"/>
  <c r="D19" i="2"/>
  <c r="R18" i="2"/>
  <c r="Q18" i="2"/>
  <c r="P18" i="2"/>
  <c r="J18" i="2"/>
  <c r="D18" i="2"/>
  <c r="R17" i="2"/>
  <c r="Q17" i="2"/>
  <c r="P17" i="2"/>
  <c r="L17" i="2"/>
  <c r="K17" i="2"/>
  <c r="J17" i="2"/>
  <c r="F17" i="2"/>
  <c r="E17" i="2"/>
  <c r="D17" i="2"/>
  <c r="P16" i="2"/>
  <c r="J16" i="2"/>
  <c r="D16" i="2"/>
  <c r="R15" i="2"/>
  <c r="Q15" i="2"/>
  <c r="P15" i="2"/>
  <c r="L15" i="2"/>
  <c r="K15" i="2"/>
  <c r="J15" i="2"/>
  <c r="F15" i="2"/>
  <c r="E15" i="2"/>
  <c r="D15" i="2"/>
  <c r="R14" i="2"/>
  <c r="Q14" i="2"/>
  <c r="P14" i="2"/>
  <c r="J14" i="2"/>
  <c r="D14" i="2"/>
  <c r="R13" i="2"/>
  <c r="Q13" i="2"/>
  <c r="P13" i="2"/>
  <c r="J13" i="2"/>
  <c r="F13" i="2"/>
  <c r="E13" i="2"/>
  <c r="D13" i="2"/>
  <c r="P12" i="2"/>
  <c r="J12" i="2"/>
  <c r="D12" i="2"/>
  <c r="R11" i="2"/>
  <c r="Q11" i="2"/>
  <c r="P11" i="2"/>
  <c r="L11" i="2"/>
  <c r="K11" i="2"/>
  <c r="J11" i="2"/>
  <c r="F11" i="2"/>
  <c r="E11" i="2"/>
  <c r="D11" i="2"/>
  <c r="R10" i="2"/>
  <c r="Q10" i="2"/>
  <c r="P10" i="2"/>
  <c r="J10" i="2"/>
  <c r="D10" i="2"/>
  <c r="R9" i="2"/>
  <c r="Q9" i="2"/>
  <c r="P9" i="2"/>
  <c r="L9" i="2"/>
  <c r="K9" i="2"/>
  <c r="J9" i="2"/>
  <c r="F9" i="2"/>
  <c r="E9" i="2"/>
  <c r="D9" i="2"/>
  <c r="R8" i="2"/>
  <c r="Q8" i="2"/>
  <c r="P8" i="2"/>
  <c r="J8" i="2"/>
  <c r="D8" i="2"/>
  <c r="R7" i="2"/>
  <c r="Q7" i="2"/>
  <c r="P7" i="2"/>
  <c r="L7" i="2"/>
  <c r="K7" i="2"/>
  <c r="J7" i="2"/>
  <c r="F7" i="2"/>
  <c r="E7" i="2"/>
  <c r="D7" i="2"/>
  <c r="F446" i="1" l="1"/>
  <c r="E446" i="1"/>
  <c r="F445" i="1"/>
  <c r="E445" i="1"/>
  <c r="H444" i="1"/>
  <c r="F444" i="1"/>
  <c r="E444" i="1"/>
  <c r="F443" i="1"/>
  <c r="E443" i="1"/>
  <c r="F442" i="1"/>
  <c r="E442" i="1"/>
  <c r="K441" i="1"/>
  <c r="I441" i="1"/>
  <c r="H441" i="1"/>
  <c r="F441" i="1"/>
  <c r="E441" i="1"/>
  <c r="H440" i="1"/>
  <c r="F440" i="1"/>
  <c r="E440" i="1"/>
  <c r="K439" i="1"/>
  <c r="I439" i="1"/>
  <c r="H439" i="1"/>
  <c r="H447" i="1" s="1"/>
  <c r="F439" i="1"/>
  <c r="E439" i="1"/>
  <c r="I438" i="1"/>
  <c r="F438" i="1"/>
  <c r="E438" i="1"/>
  <c r="F437" i="1"/>
  <c r="E437" i="1"/>
  <c r="F436" i="1"/>
  <c r="E436" i="1"/>
  <c r="E447" i="1" s="1"/>
  <c r="F435" i="1"/>
  <c r="F447" i="1" s="1"/>
  <c r="E435" i="1"/>
  <c r="I434" i="1"/>
  <c r="H434" i="1"/>
  <c r="F434" i="1"/>
  <c r="E434" i="1"/>
  <c r="I421" i="1"/>
  <c r="H421" i="1"/>
  <c r="F421" i="1"/>
  <c r="E421" i="1"/>
  <c r="I408" i="1"/>
  <c r="H408" i="1"/>
  <c r="F408" i="1"/>
  <c r="E408" i="1"/>
  <c r="I395" i="1"/>
  <c r="H395" i="1"/>
  <c r="F395" i="1"/>
  <c r="E395" i="1"/>
  <c r="I382" i="1"/>
  <c r="H382" i="1"/>
  <c r="F382" i="1"/>
  <c r="E382" i="1"/>
  <c r="I369" i="1"/>
  <c r="H369" i="1"/>
  <c r="F369" i="1"/>
  <c r="E369" i="1"/>
  <c r="H356" i="1"/>
  <c r="F356" i="1"/>
  <c r="E356" i="1"/>
  <c r="I344" i="1"/>
  <c r="F342" i="1"/>
  <c r="E342" i="1"/>
  <c r="F341" i="1"/>
  <c r="E341" i="1"/>
  <c r="H340" i="1"/>
  <c r="F340" i="1"/>
  <c r="F339" i="1"/>
  <c r="F338" i="1"/>
  <c r="E338" i="1"/>
  <c r="K337" i="1"/>
  <c r="I337" i="1"/>
  <c r="H337" i="1"/>
  <c r="F337" i="1"/>
  <c r="H336" i="1"/>
  <c r="F336" i="1"/>
  <c r="E336" i="1"/>
  <c r="I335" i="1"/>
  <c r="K335" i="1" s="1"/>
  <c r="H335" i="1"/>
  <c r="H343" i="1" s="1"/>
  <c r="F335" i="1"/>
  <c r="I334" i="1"/>
  <c r="F334" i="1"/>
  <c r="E334" i="1"/>
  <c r="I333" i="1"/>
  <c r="I346" i="1" s="1"/>
  <c r="I437" i="1" s="1"/>
  <c r="F333" i="1"/>
  <c r="E333" i="1"/>
  <c r="I332" i="1"/>
  <c r="I345" i="1" s="1"/>
  <c r="I436" i="1" s="1"/>
  <c r="I447" i="1" s="1"/>
  <c r="F332" i="1"/>
  <c r="E332" i="1"/>
  <c r="I331" i="1"/>
  <c r="F331" i="1"/>
  <c r="F343" i="1" s="1"/>
  <c r="E331" i="1"/>
  <c r="E343" i="1" s="1"/>
  <c r="H330" i="1"/>
  <c r="F330" i="1"/>
  <c r="E330" i="1"/>
  <c r="I328" i="1"/>
  <c r="I326" i="1"/>
  <c r="I330" i="1" s="1"/>
  <c r="I317" i="1"/>
  <c r="H317" i="1"/>
  <c r="F317" i="1"/>
  <c r="E317" i="1"/>
  <c r="I304" i="1"/>
  <c r="H304" i="1"/>
  <c r="F304" i="1"/>
  <c r="E304" i="1"/>
  <c r="I291" i="1"/>
  <c r="H291" i="1"/>
  <c r="F291" i="1"/>
  <c r="E291" i="1"/>
  <c r="I278" i="1"/>
  <c r="H278" i="1"/>
  <c r="F278" i="1"/>
  <c r="E278" i="1"/>
  <c r="I265" i="1"/>
  <c r="H265" i="1"/>
  <c r="F265" i="1"/>
  <c r="E265" i="1"/>
  <c r="I252" i="1"/>
  <c r="H252" i="1"/>
  <c r="F252" i="1"/>
  <c r="E252" i="1"/>
  <c r="I239" i="1"/>
  <c r="H239" i="1"/>
  <c r="F239" i="1"/>
  <c r="E239" i="1"/>
  <c r="I226" i="1"/>
  <c r="H226" i="1"/>
  <c r="F226" i="1"/>
  <c r="E226" i="1"/>
  <c r="I213" i="1"/>
  <c r="H213" i="1"/>
  <c r="F213" i="1"/>
  <c r="E213" i="1"/>
  <c r="I200" i="1"/>
  <c r="H200" i="1"/>
  <c r="F200" i="1"/>
  <c r="E200" i="1"/>
  <c r="E197" i="1"/>
  <c r="E196" i="1"/>
  <c r="E194" i="1"/>
  <c r="E192" i="1"/>
  <c r="I187" i="1"/>
  <c r="H187" i="1"/>
  <c r="F187" i="1"/>
  <c r="E187" i="1"/>
  <c r="E184" i="1"/>
  <c r="E340" i="1" s="1"/>
  <c r="E183" i="1"/>
  <c r="E339" i="1" s="1"/>
  <c r="E181" i="1"/>
  <c r="E337" i="1" s="1"/>
  <c r="E179" i="1"/>
  <c r="E335" i="1" s="1"/>
  <c r="F173" i="1"/>
  <c r="E173" i="1"/>
  <c r="F172" i="1"/>
  <c r="E172" i="1"/>
  <c r="F171" i="1"/>
  <c r="F170" i="1"/>
  <c r="E170" i="1"/>
  <c r="F169" i="1"/>
  <c r="E169" i="1"/>
  <c r="I168" i="1"/>
  <c r="K168" i="1" s="1"/>
  <c r="H168" i="1"/>
  <c r="F168" i="1"/>
  <c r="H167" i="1"/>
  <c r="F167" i="1"/>
  <c r="E167" i="1"/>
  <c r="I166" i="1"/>
  <c r="K166" i="1" s="1"/>
  <c r="H166" i="1"/>
  <c r="F166" i="1"/>
  <c r="H165" i="1"/>
  <c r="F165" i="1"/>
  <c r="E165" i="1"/>
  <c r="I164" i="1"/>
  <c r="H164" i="1"/>
  <c r="I163" i="1"/>
  <c r="I174" i="1" s="1"/>
  <c r="H163" i="1"/>
  <c r="F163" i="1"/>
  <c r="E163" i="1"/>
  <c r="H162" i="1"/>
  <c r="H174" i="1" s="1"/>
  <c r="F162" i="1"/>
  <c r="E162" i="1"/>
  <c r="I161" i="1"/>
  <c r="H161" i="1"/>
  <c r="F161" i="1"/>
  <c r="E158" i="1"/>
  <c r="E157" i="1"/>
  <c r="E155" i="1"/>
  <c r="E153" i="1"/>
  <c r="E161" i="1" s="1"/>
  <c r="I148" i="1"/>
  <c r="H148" i="1"/>
  <c r="F148" i="1"/>
  <c r="E145" i="1"/>
  <c r="E144" i="1"/>
  <c r="E142" i="1"/>
  <c r="E140" i="1"/>
  <c r="E148" i="1" s="1"/>
  <c r="I135" i="1"/>
  <c r="H135" i="1"/>
  <c r="F135" i="1"/>
  <c r="E135" i="1"/>
  <c r="I122" i="1"/>
  <c r="H122" i="1"/>
  <c r="F122" i="1"/>
  <c r="E122" i="1"/>
  <c r="I109" i="1"/>
  <c r="H109" i="1"/>
  <c r="F109" i="1"/>
  <c r="E109" i="1"/>
  <c r="I96" i="1"/>
  <c r="H96" i="1"/>
  <c r="F96" i="1"/>
  <c r="E96" i="1"/>
  <c r="I83" i="1"/>
  <c r="H83" i="1"/>
  <c r="F83" i="1"/>
  <c r="E83" i="1"/>
  <c r="F73" i="1"/>
  <c r="I70" i="1"/>
  <c r="H70" i="1"/>
  <c r="E70" i="1"/>
  <c r="F60" i="1"/>
  <c r="F164" i="1" s="1"/>
  <c r="I57" i="1"/>
  <c r="H57" i="1"/>
  <c r="F57" i="1"/>
  <c r="E54" i="1"/>
  <c r="E51" i="1"/>
  <c r="E57" i="1" s="1"/>
  <c r="E49" i="1"/>
  <c r="I44" i="1"/>
  <c r="H44" i="1"/>
  <c r="F44" i="1"/>
  <c r="E41" i="1"/>
  <c r="E171" i="1" s="1"/>
  <c r="E38" i="1"/>
  <c r="E168" i="1" s="1"/>
  <c r="E36" i="1"/>
  <c r="E166" i="1" s="1"/>
  <c r="E34" i="1"/>
  <c r="E44" i="1" s="1"/>
  <c r="I31" i="1"/>
  <c r="H31" i="1"/>
  <c r="F31" i="1"/>
  <c r="E31" i="1"/>
  <c r="K18" i="1"/>
  <c r="I18" i="1"/>
  <c r="H18" i="1"/>
  <c r="F18" i="1"/>
  <c r="E18" i="1"/>
  <c r="F174" i="1" l="1"/>
  <c r="I341" i="1"/>
  <c r="I354" i="1" s="1"/>
  <c r="E164" i="1"/>
  <c r="E174" i="1" s="1"/>
  <c r="F70" i="1"/>
  <c r="I339" i="1"/>
  <c r="I343" i="1" s="1"/>
  <c r="I352" i="1" l="1"/>
  <c r="I356" i="1" s="1"/>
</calcChain>
</file>

<file path=xl/sharedStrings.xml><?xml version="1.0" encoding="utf-8"?>
<sst xmlns="http://schemas.openxmlformats.org/spreadsheetml/2006/main" count="733" uniqueCount="90">
  <si>
    <t>Table 3: Format for submission of details regarding coal availability</t>
  </si>
  <si>
    <t>Month</t>
  </si>
  <si>
    <t>Coal Company</t>
  </si>
  <si>
    <t>Prorata ACQ as per the FSA</t>
  </si>
  <si>
    <t>Requirement given to the Coal Company</t>
  </si>
  <si>
    <t>Quantum agreed to be supplied by the Coal Company</t>
  </si>
  <si>
    <t>Requisition placed with Railways during the month</t>
  </si>
  <si>
    <t>Actual quantum of coal supplied* (660 MW +210 MW)</t>
  </si>
  <si>
    <t>Transfer to other Stations</t>
  </si>
  <si>
    <t>Details of those Stations to which the coal has been transferred</t>
  </si>
  <si>
    <t>Ton</t>
  </si>
  <si>
    <t>Station</t>
  </si>
  <si>
    <t>WCL RAW RAIL</t>
  </si>
  <si>
    <t>MCL RAW RAIL</t>
  </si>
  <si>
    <t>SECL RAW RAIL</t>
  </si>
  <si>
    <t>MTPK</t>
  </si>
  <si>
    <t>SCCL RAW RAIL</t>
  </si>
  <si>
    <t>WCL WASH RAIL</t>
  </si>
  <si>
    <t>MCL WASH RAIL</t>
  </si>
  <si>
    <t>SECL WASH RAIL</t>
  </si>
  <si>
    <t>KPKD</t>
  </si>
  <si>
    <t>SCCL WASH RAIL</t>
  </si>
  <si>
    <t>WCL RAW ROAD</t>
  </si>
  <si>
    <t>WCL WASH ROAD</t>
  </si>
  <si>
    <t>WCL RAW PIPE CONVEYOR</t>
  </si>
  <si>
    <t>IMPORT COAL</t>
  </si>
  <si>
    <t>Total</t>
  </si>
  <si>
    <t>MTPK &amp; NTPG</t>
  </si>
  <si>
    <t>7630.60 &amp; 8060.60</t>
  </si>
  <si>
    <t>BTPS</t>
  </si>
  <si>
    <t>7854.37 &amp; 19530.4</t>
  </si>
  <si>
    <t> </t>
  </si>
  <si>
    <t>CSTPS &amp; KPKD</t>
  </si>
  <si>
    <t>3857.45 &amp; 23896.62</t>
  </si>
  <si>
    <t>3954.7
 &amp; 7449.85</t>
  </si>
  <si>
    <t>NTPG</t>
  </si>
  <si>
    <t>MTPK &amp; PARAS &amp; NTPG</t>
  </si>
  <si>
    <t xml:space="preserve">4006 &amp; 18876.24 &amp; 3,642.950
</t>
  </si>
  <si>
    <t>MTPK &amp; NTPG &amp; PARAS</t>
  </si>
  <si>
    <t>3987.98 &amp; 39080.60  &amp; 7829.17</t>
  </si>
  <si>
    <t>BTPS &amp; CSTPS &amp; KPKD</t>
  </si>
  <si>
    <t>15890.65 &amp; 19620.9 &amp; 15970.77</t>
  </si>
  <si>
    <t>PARAS &amp; NTPG &amp; MTPK</t>
  </si>
  <si>
    <t xml:space="preserve">3808.87 &amp;7227.05&amp;
3,350.850
</t>
  </si>
  <si>
    <t xml:space="preserve">MTPK &amp; NTPG </t>
  </si>
  <si>
    <t>16095.40 &amp; 23948.60</t>
  </si>
  <si>
    <t>7802.9
 &amp; 23597.45
 &amp; 12065.25</t>
  </si>
  <si>
    <t>11878.45 &amp; 35011.50 &amp; 7712.14</t>
  </si>
  <si>
    <t>3112.25
 &amp; 19690.85
 &amp; 3819.05</t>
  </si>
  <si>
    <t>MTPK &amp; BTPS</t>
  </si>
  <si>
    <t xml:space="preserve">3545.15 &amp; 3,254.200
</t>
  </si>
  <si>
    <t>MTPK &amp; NTPG &amp;  PARAS</t>
  </si>
  <si>
    <t>11981.71 &amp; 25554.46 &amp; 4022.78</t>
  </si>
  <si>
    <t>BTPS &amp; CSTPS &amp; KPKD &amp; PRSTPS</t>
  </si>
  <si>
    <t>8107.15
 &amp; 16072.9
 &amp; 4070.85 &amp; 3970.09</t>
  </si>
  <si>
    <t xml:space="preserve">PARAS   </t>
  </si>
  <si>
    <t>BTPS &amp; KPKD</t>
  </si>
  <si>
    <t>8064.55 &amp; 7316.08</t>
  </si>
  <si>
    <t>12054.95
 &amp; 4018.4
 &amp; 115478.69</t>
  </si>
  <si>
    <t>FY 22-23</t>
  </si>
  <si>
    <t>IMPORTED COAL</t>
  </si>
  <si>
    <t>3959.95
 &amp; 3755.66
 &amp; 71604.65</t>
  </si>
  <si>
    <t>BTPS &amp; CSTPS</t>
  </si>
  <si>
    <t>15577.65
&amp; 15270.85</t>
  </si>
  <si>
    <t>11498.47 &amp; 7679.39</t>
  </si>
  <si>
    <t xml:space="preserve">CSTPS  </t>
  </si>
  <si>
    <t>16763.05 &amp;  8087.35</t>
  </si>
  <si>
    <t xml:space="preserve">NTPG   </t>
  </si>
  <si>
    <t>NTPG &amp; PARAS</t>
  </si>
  <si>
    <t>3498.26 &amp; 3668.49</t>
  </si>
  <si>
    <t>CSTPS</t>
  </si>
  <si>
    <t>3369.15 &amp; 7333.41</t>
  </si>
  <si>
    <t xml:space="preserve">NTPG  </t>
  </si>
  <si>
    <t>4147.30 &amp; 3830.25</t>
  </si>
  <si>
    <t>FY 23-24</t>
  </si>
  <si>
    <t>NMVP &amp; NTPG</t>
  </si>
  <si>
    <t>4061.80 &amp; 4030.70</t>
  </si>
  <si>
    <t xml:space="preserve">NMVP   </t>
  </si>
  <si>
    <t>NTPG &amp; BTPS</t>
  </si>
  <si>
    <t>3824.95 &amp; 7551.15</t>
  </si>
  <si>
    <t>IMPORTED</t>
  </si>
  <si>
    <t>FY 2024-25 
(UPTO Oct.24)</t>
  </si>
  <si>
    <t xml:space="preserve">IMPORTED </t>
  </si>
  <si>
    <t>MYT petition filed before Hon'ble Commission (MERC Case No. 187/MY/2024) -- Data Gaps Set -I</t>
  </si>
  <si>
    <t>KORADI TPS</t>
  </si>
  <si>
    <r>
      <t xml:space="preserve">Prorata ACQ as per the </t>
    </r>
    <r>
      <rPr>
        <b/>
        <i/>
        <sz val="11"/>
        <color rgb="FF000000"/>
        <rFont val="Times New Roman"/>
        <family val="1"/>
      </rPr>
      <t>FSA /BL/MoU</t>
    </r>
  </si>
  <si>
    <t>WCL</t>
  </si>
  <si>
    <t>MCL</t>
  </si>
  <si>
    <t>SECL</t>
  </si>
  <si>
    <t>SCCL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</si>
</sst>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theme="1"/>
      <name val="Aptos Narrow"/>
      <family val="2"/>
      <scheme val="minor"/>
    </font>
    <font>
      <b/>
      <i/>
      <sz val="16"/>
      <color rgb="FF000000"/>
      <name val="Aptos Narrow"/>
      <family val="2"/>
      <scheme val="minor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</font>
    <font>
      <i/>
      <sz val="11"/>
      <color rgb="FF000000"/>
      <name val="Calibri"/>
    </font>
    <font>
      <sz val="11"/>
      <color rgb="FF242424"/>
      <name val="Aptos Narrow"/>
      <charset val="1"/>
    </font>
    <font>
      <b/>
      <sz val="10"/>
      <color rgb="FF000000"/>
      <name val="Arial"/>
    </font>
    <font>
      <sz val="10"/>
      <color rgb="FF000000"/>
      <name val="Arial"/>
    </font>
    <font>
      <i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b/>
      <sz val="11"/>
      <color rgb="FF242424"/>
      <name val="Aptos Narrow"/>
      <charset val="1"/>
    </font>
    <font>
      <b/>
      <sz val="11"/>
      <color rgb="FF000000"/>
      <name val="Calibri"/>
      <family val="2"/>
    </font>
    <font>
      <sz val="11"/>
      <color rgb="FF000000"/>
      <name val="Calibri"/>
    </font>
    <font>
      <b/>
      <sz val="11"/>
      <color rgb="FF242424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12"/>
      <name val="Cambria"/>
      <family val="1"/>
    </font>
    <font>
      <sz val="12"/>
      <color rgb="FF000000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DF00A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2" borderId="0" xfId="0" applyFill="1"/>
    <xf numFmtId="0" fontId="0" fillId="3" borderId="0" xfId="0" applyFill="1" applyAlignment="1">
      <alignment horizontal="center"/>
    </xf>
    <xf numFmtId="0" fontId="1" fillId="0" borderId="0" xfId="0" applyFont="1"/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4" borderId="4" xfId="0" applyFont="1" applyFill="1" applyBorder="1" applyAlignment="1">
      <alignment horizontal="center" vertical="center" wrapText="1" readingOrder="1"/>
    </xf>
    <xf numFmtId="0" fontId="2" fillId="4" borderId="5" xfId="0" applyFont="1" applyFill="1" applyBorder="1" applyAlignment="1">
      <alignment horizontal="center" vertical="center" wrapText="1" readingOrder="1"/>
    </xf>
    <xf numFmtId="0" fontId="2" fillId="3" borderId="5" xfId="0" applyFont="1" applyFill="1" applyBorder="1" applyAlignment="1">
      <alignment horizontal="center" vertical="center" wrapText="1" readingOrder="1"/>
    </xf>
    <xf numFmtId="17" fontId="3" fillId="4" borderId="1" xfId="0" applyNumberFormat="1" applyFont="1" applyFill="1" applyBorder="1" applyAlignment="1">
      <alignment horizontal="center" vertical="center" wrapText="1" readingOrder="1"/>
    </xf>
    <xf numFmtId="0" fontId="3" fillId="5" borderId="5" xfId="0" applyFont="1" applyFill="1" applyBorder="1" applyAlignment="1">
      <alignment horizontal="center" vertical="center" wrapText="1" readingOrder="1"/>
    </xf>
    <xf numFmtId="0" fontId="3" fillId="5" borderId="5" xfId="0" applyFont="1" applyFill="1" applyBorder="1" applyAlignment="1">
      <alignment horizontal="justify" vertical="center" wrapText="1" readingOrder="1"/>
    </xf>
    <xf numFmtId="2" fontId="3" fillId="5" borderId="5" xfId="0" applyNumberFormat="1" applyFont="1" applyFill="1" applyBorder="1" applyAlignment="1">
      <alignment horizontal="center" vertical="center" wrapText="1" readingOrder="1"/>
    </xf>
    <xf numFmtId="0" fontId="0" fillId="5" borderId="0" xfId="0" applyFill="1"/>
    <xf numFmtId="17" fontId="3" fillId="4" borderId="6" xfId="0" applyNumberFormat="1" applyFont="1" applyFill="1" applyBorder="1" applyAlignment="1">
      <alignment horizontal="center" vertical="center" wrapText="1" readingOrder="1"/>
    </xf>
    <xf numFmtId="0" fontId="3" fillId="6" borderId="5" xfId="0" applyFont="1" applyFill="1" applyBorder="1" applyAlignment="1">
      <alignment horizontal="center" vertical="center" wrapText="1" readingOrder="1"/>
    </xf>
    <xf numFmtId="0" fontId="3" fillId="6" borderId="5" xfId="0" applyFont="1" applyFill="1" applyBorder="1" applyAlignment="1">
      <alignment horizontal="justify" vertical="center" wrapText="1" readingOrder="1"/>
    </xf>
    <xf numFmtId="2" fontId="4" fillId="6" borderId="7" xfId="0" applyNumberFormat="1" applyFont="1" applyFill="1" applyBorder="1" applyAlignment="1">
      <alignment horizontal="center"/>
    </xf>
    <xf numFmtId="2" fontId="3" fillId="6" borderId="5" xfId="0" applyNumberFormat="1" applyFont="1" applyFill="1" applyBorder="1" applyAlignment="1">
      <alignment horizontal="center" vertical="center" wrapText="1" readingOrder="1"/>
    </xf>
    <xf numFmtId="0" fontId="0" fillId="6" borderId="0" xfId="0" applyFill="1"/>
    <xf numFmtId="2" fontId="4" fillId="6" borderId="8" xfId="0" applyNumberFormat="1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justify" vertical="center" wrapText="1" readingOrder="1"/>
    </xf>
    <xf numFmtId="2" fontId="3" fillId="0" borderId="5" xfId="0" applyNumberFormat="1" applyFont="1" applyBorder="1" applyAlignment="1">
      <alignment horizontal="center" vertical="center" wrapText="1" readingOrder="1"/>
    </xf>
    <xf numFmtId="0" fontId="3" fillId="7" borderId="5" xfId="0" applyFont="1" applyFill="1" applyBorder="1" applyAlignment="1">
      <alignment horizontal="center" vertical="center" wrapText="1" readingOrder="1"/>
    </xf>
    <xf numFmtId="0" fontId="3" fillId="7" borderId="5" xfId="0" applyFont="1" applyFill="1" applyBorder="1" applyAlignment="1">
      <alignment horizontal="justify" vertical="center" wrapText="1" readingOrder="1"/>
    </xf>
    <xf numFmtId="2" fontId="3" fillId="7" borderId="5" xfId="0" applyNumberFormat="1" applyFont="1" applyFill="1" applyBorder="1" applyAlignment="1">
      <alignment horizontal="center" vertical="center" wrapText="1" readingOrder="1"/>
    </xf>
    <xf numFmtId="0" fontId="0" fillId="7" borderId="0" xfId="0" applyFill="1"/>
    <xf numFmtId="17" fontId="3" fillId="4" borderId="4" xfId="0" applyNumberFormat="1" applyFont="1" applyFill="1" applyBorder="1" applyAlignment="1">
      <alignment horizontal="center" vertical="center" wrapText="1" readingOrder="1"/>
    </xf>
    <xf numFmtId="0" fontId="2" fillId="8" borderId="5" xfId="0" applyFont="1" applyFill="1" applyBorder="1" applyAlignment="1">
      <alignment horizontal="center" vertical="center" wrapText="1" readingOrder="1"/>
    </xf>
    <xf numFmtId="0" fontId="2" fillId="8" borderId="5" xfId="0" applyFont="1" applyFill="1" applyBorder="1" applyAlignment="1">
      <alignment horizontal="justify" vertical="center" wrapText="1" readingOrder="1"/>
    </xf>
    <xf numFmtId="2" fontId="2" fillId="8" borderId="5" xfId="0" applyNumberFormat="1" applyFont="1" applyFill="1" applyBorder="1" applyAlignment="1">
      <alignment horizontal="center" vertical="center" wrapText="1" readingOrder="1"/>
    </xf>
    <xf numFmtId="0" fontId="0" fillId="8" borderId="0" xfId="0" applyFill="1"/>
    <xf numFmtId="2" fontId="4" fillId="6" borderId="10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justify" vertical="center" wrapText="1" readingOrder="1"/>
    </xf>
    <xf numFmtId="2" fontId="0" fillId="0" borderId="7" xfId="0" applyNumberFormat="1" applyBorder="1" applyAlignment="1">
      <alignment horizontal="center"/>
    </xf>
    <xf numFmtId="0" fontId="3" fillId="8" borderId="5" xfId="0" applyFont="1" applyFill="1" applyBorder="1" applyAlignment="1">
      <alignment horizontal="center" vertical="center" wrapText="1" readingOrder="1"/>
    </xf>
    <xf numFmtId="0" fontId="3" fillId="5" borderId="12" xfId="0" applyFont="1" applyFill="1" applyBorder="1" applyAlignment="1">
      <alignment horizontal="center" vertical="center" wrapText="1" readingOrder="1"/>
    </xf>
    <xf numFmtId="0" fontId="6" fillId="5" borderId="5" xfId="0" applyFont="1" applyFill="1" applyBorder="1" applyAlignment="1">
      <alignment horizontal="justify" vertical="center" wrapText="1" readingOrder="1"/>
    </xf>
    <xf numFmtId="0" fontId="3" fillId="5" borderId="11" xfId="0" applyFont="1" applyFill="1" applyBorder="1" applyAlignment="1">
      <alignment horizontal="center" vertical="center" wrapText="1" readingOrder="1"/>
    </xf>
    <xf numFmtId="0" fontId="7" fillId="5" borderId="7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justify" vertical="center" wrapText="1" readingOrder="1"/>
    </xf>
    <xf numFmtId="2" fontId="4" fillId="0" borderId="7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2" fontId="4" fillId="0" borderId="8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3" fillId="4" borderId="5" xfId="0" applyFont="1" applyFill="1" applyBorder="1" applyAlignment="1">
      <alignment horizontal="center" vertical="center" wrapText="1" readingOrder="1"/>
    </xf>
    <xf numFmtId="0" fontId="3" fillId="4" borderId="5" xfId="0" applyFont="1" applyFill="1" applyBorder="1" applyAlignment="1">
      <alignment horizontal="justify" vertical="center" wrapText="1" readingOrder="1"/>
    </xf>
    <xf numFmtId="2" fontId="3" fillId="3" borderId="5" xfId="0" applyNumberFormat="1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center"/>
    </xf>
    <xf numFmtId="0" fontId="6" fillId="7" borderId="5" xfId="0" applyFont="1" applyFill="1" applyBorder="1" applyAlignment="1">
      <alignment horizontal="justify" vertical="center" wrapText="1" readingOrder="1"/>
    </xf>
    <xf numFmtId="4" fontId="3" fillId="5" borderId="5" xfId="0" applyNumberFormat="1" applyFont="1" applyFill="1" applyBorder="1" applyAlignment="1">
      <alignment horizontal="center" vertical="center" wrapText="1" readingOrder="1"/>
    </xf>
    <xf numFmtId="4" fontId="3" fillId="5" borderId="12" xfId="0" applyNumberFormat="1" applyFont="1" applyFill="1" applyBorder="1" applyAlignment="1">
      <alignment horizontal="center" vertical="center" wrapText="1" indent="1" readingOrder="1"/>
    </xf>
    <xf numFmtId="0" fontId="5" fillId="5" borderId="7" xfId="0" applyFont="1" applyFill="1" applyBorder="1" applyAlignment="1">
      <alignment horizontal="center" vertical="top"/>
    </xf>
    <xf numFmtId="2" fontId="2" fillId="3" borderId="5" xfId="0" applyNumberFormat="1" applyFont="1" applyFill="1" applyBorder="1" applyAlignment="1">
      <alignment horizontal="center" vertical="center" wrapText="1" readingOrder="1"/>
    </xf>
    <xf numFmtId="4" fontId="3" fillId="5" borderId="5" xfId="0" applyNumberFormat="1" applyFont="1" applyFill="1" applyBorder="1" applyAlignment="1">
      <alignment horizontal="center" wrapText="1" readingOrder="1"/>
    </xf>
    <xf numFmtId="0" fontId="5" fillId="5" borderId="0" xfId="0" applyFont="1" applyFill="1"/>
    <xf numFmtId="0" fontId="3" fillId="5" borderId="5" xfId="0" applyFont="1" applyFill="1" applyBorder="1" applyAlignment="1">
      <alignment horizontal="center" vertical="center" readingOrder="1"/>
    </xf>
    <xf numFmtId="2" fontId="3" fillId="5" borderId="12" xfId="0" applyNumberFormat="1" applyFont="1" applyFill="1" applyBorder="1" applyAlignment="1">
      <alignment horizontal="center" vertical="center" wrapText="1" readingOrder="1"/>
    </xf>
    <xf numFmtId="2" fontId="4" fillId="0" borderId="14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 vertical="center" wrapText="1" readingOrder="1"/>
    </xf>
    <xf numFmtId="2" fontId="5" fillId="0" borderId="9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7" fontId="10" fillId="9" borderId="1" xfId="0" applyNumberFormat="1" applyFont="1" applyFill="1" applyBorder="1" applyAlignment="1">
      <alignment horizontal="center" vertical="center" wrapText="1" readingOrder="1"/>
    </xf>
    <xf numFmtId="2" fontId="0" fillId="5" borderId="0" xfId="0" applyNumberFormat="1" applyFill="1"/>
    <xf numFmtId="17" fontId="10" fillId="9" borderId="6" xfId="0" applyNumberFormat="1" applyFont="1" applyFill="1" applyBorder="1" applyAlignment="1">
      <alignment horizontal="center" vertical="center" wrapText="1" readingOrder="1"/>
    </xf>
    <xf numFmtId="17" fontId="10" fillId="9" borderId="4" xfId="0" applyNumberFormat="1" applyFont="1" applyFill="1" applyBorder="1" applyAlignment="1">
      <alignment horizontal="center" vertical="center" wrapText="1" readingOrder="1"/>
    </xf>
    <xf numFmtId="0" fontId="11" fillId="3" borderId="5" xfId="0" applyFont="1" applyFill="1" applyBorder="1" applyAlignment="1">
      <alignment horizontal="center" vertical="center" wrapText="1" readingOrder="1"/>
    </xf>
    <xf numFmtId="0" fontId="11" fillId="3" borderId="5" xfId="0" applyFont="1" applyFill="1" applyBorder="1" applyAlignment="1">
      <alignment horizontal="justify" vertical="center" wrapText="1" readingOrder="1"/>
    </xf>
    <xf numFmtId="2" fontId="11" fillId="3" borderId="5" xfId="0" applyNumberFormat="1" applyFont="1" applyFill="1" applyBorder="1" applyAlignment="1">
      <alignment horizontal="center" vertical="center" wrapText="1" readingOrder="1"/>
    </xf>
    <xf numFmtId="1" fontId="0" fillId="0" borderId="0" xfId="0" applyNumberFormat="1"/>
    <xf numFmtId="0" fontId="3" fillId="8" borderId="5" xfId="0" applyFont="1" applyFill="1" applyBorder="1" applyAlignment="1">
      <alignment horizontal="justify" vertical="center" wrapText="1" readingOrder="1"/>
    </xf>
    <xf numFmtId="2" fontId="4" fillId="0" borderId="14" xfId="0" applyNumberFormat="1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2" fontId="4" fillId="0" borderId="8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2" fontId="4" fillId="0" borderId="7" xfId="0" applyNumberFormat="1" applyFont="1" applyBorder="1" applyAlignment="1">
      <alignment horizontal="center" wrapText="1"/>
    </xf>
    <xf numFmtId="0" fontId="2" fillId="4" borderId="5" xfId="0" applyFont="1" applyFill="1" applyBorder="1" applyAlignment="1">
      <alignment horizontal="justify" vertical="center" wrapText="1" readingOrder="1"/>
    </xf>
    <xf numFmtId="2" fontId="4" fillId="0" borderId="10" xfId="0" applyNumberFormat="1" applyFont="1" applyBorder="1" applyAlignment="1">
      <alignment horizontal="center"/>
    </xf>
    <xf numFmtId="0" fontId="3" fillId="4" borderId="11" xfId="0" applyFont="1" applyFill="1" applyBorder="1" applyAlignment="1">
      <alignment horizontal="justify" vertical="center" wrapText="1" readingOrder="1"/>
    </xf>
    <xf numFmtId="2" fontId="0" fillId="3" borderId="7" xfId="0" applyNumberFormat="1" applyFill="1" applyBorder="1" applyAlignment="1">
      <alignment horizontal="center"/>
    </xf>
    <xf numFmtId="0" fontId="3" fillId="5" borderId="11" xfId="0" applyFont="1" applyFill="1" applyBorder="1" applyAlignment="1">
      <alignment horizontal="justify" vertical="center" wrapText="1" readingOrder="1"/>
    </xf>
    <xf numFmtId="2" fontId="0" fillId="5" borderId="7" xfId="0" applyNumberFormat="1" applyFill="1" applyBorder="1" applyAlignment="1">
      <alignment horizontal="center"/>
    </xf>
    <xf numFmtId="0" fontId="3" fillId="6" borderId="11" xfId="0" applyFont="1" applyFill="1" applyBorder="1" applyAlignment="1">
      <alignment horizontal="justify" vertical="center" wrapText="1" readingOrder="1"/>
    </xf>
    <xf numFmtId="2" fontId="13" fillId="0" borderId="7" xfId="0" applyNumberFormat="1" applyFont="1" applyBorder="1" applyAlignment="1">
      <alignment horizontal="center"/>
    </xf>
    <xf numFmtId="2" fontId="13" fillId="6" borderId="7" xfId="0" applyNumberFormat="1" applyFont="1" applyFill="1" applyBorder="1" applyAlignment="1">
      <alignment horizontal="center"/>
    </xf>
    <xf numFmtId="2" fontId="13" fillId="6" borderId="8" xfId="0" applyNumberFormat="1" applyFont="1" applyFill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4" fontId="0" fillId="5" borderId="0" xfId="0" applyNumberFormat="1" applyFill="1"/>
    <xf numFmtId="17" fontId="3" fillId="9" borderId="1" xfId="0" applyNumberFormat="1" applyFont="1" applyFill="1" applyBorder="1" applyAlignment="1">
      <alignment horizontal="center" vertical="center" wrapText="1" readingOrder="1"/>
    </xf>
    <xf numFmtId="17" fontId="3" fillId="9" borderId="6" xfId="0" applyNumberFormat="1" applyFont="1" applyFill="1" applyBorder="1" applyAlignment="1">
      <alignment horizontal="center" vertical="center" wrapText="1" readingOrder="1"/>
    </xf>
    <xf numFmtId="17" fontId="3" fillId="9" borderId="4" xfId="0" applyNumberFormat="1" applyFont="1" applyFill="1" applyBorder="1" applyAlignment="1">
      <alignment horizontal="center" vertical="center" wrapText="1" readingOrder="1"/>
    </xf>
    <xf numFmtId="0" fontId="11" fillId="4" borderId="5" xfId="0" applyFont="1" applyFill="1" applyBorder="1" applyAlignment="1">
      <alignment horizontal="center" vertical="center" wrapText="1" readingOrder="1"/>
    </xf>
    <xf numFmtId="0" fontId="11" fillId="4" borderId="5" xfId="0" applyFont="1" applyFill="1" applyBorder="1" applyAlignment="1">
      <alignment horizontal="justify" vertical="center" wrapText="1" readingOrder="1"/>
    </xf>
    <xf numFmtId="2" fontId="14" fillId="0" borderId="7" xfId="0" applyNumberFormat="1" applyFont="1" applyBorder="1" applyAlignment="1">
      <alignment horizontal="center"/>
    </xf>
    <xf numFmtId="2" fontId="14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 wrapText="1"/>
    </xf>
    <xf numFmtId="2" fontId="3" fillId="10" borderId="5" xfId="0" applyNumberFormat="1" applyFont="1" applyFill="1" applyBorder="1" applyAlignment="1">
      <alignment horizontal="center" vertical="center" wrapText="1" readingOrder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4" borderId="15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17" fontId="16" fillId="0" borderId="15" xfId="0" applyNumberFormat="1" applyFont="1" applyBorder="1" applyAlignment="1">
      <alignment horizontal="center" vertical="center"/>
    </xf>
    <xf numFmtId="0" fontId="16" fillId="0" borderId="15" xfId="0" applyFont="1" applyBorder="1"/>
    <xf numFmtId="1" fontId="20" fillId="11" borderId="15" xfId="0" applyNumberFormat="1" applyFont="1" applyFill="1" applyBorder="1" applyAlignment="1">
      <alignment horizontal="center"/>
    </xf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/>
    </xf>
    <xf numFmtId="1" fontId="21" fillId="11" borderId="15" xfId="0" applyNumberFormat="1" applyFont="1" applyFill="1" applyBorder="1" applyAlignment="1">
      <alignment horizontal="center" vertical="center"/>
    </xf>
    <xf numFmtId="164" fontId="1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35A0-1130-4F89-990D-FBD7F6BA9592}">
  <dimension ref="B2:R66"/>
  <sheetViews>
    <sheetView zoomScale="70" zoomScaleNormal="70" workbookViewId="0">
      <selection activeCell="T7" sqref="T7"/>
    </sheetView>
  </sheetViews>
  <sheetFormatPr defaultColWidth="9.109375" defaultRowHeight="13.8" x14ac:dyDescent="0.25"/>
  <cols>
    <col min="1" max="2" width="9.109375" style="112"/>
    <col min="3" max="3" width="10.44140625" style="112" customWidth="1"/>
    <col min="4" max="5" width="13.5546875" style="112" customWidth="1"/>
    <col min="6" max="6" width="14" style="112" customWidth="1"/>
    <col min="7" max="7" width="4.5546875" style="112" customWidth="1"/>
    <col min="8" max="8" width="9.109375" style="112"/>
    <col min="9" max="9" width="6.6640625" style="112" customWidth="1"/>
    <col min="10" max="10" width="14.109375" style="112" customWidth="1"/>
    <col min="11" max="11" width="14.5546875" style="112" customWidth="1"/>
    <col min="12" max="12" width="14.33203125" style="112" customWidth="1"/>
    <col min="13" max="13" width="5.109375" style="112" customWidth="1"/>
    <col min="14" max="15" width="9.109375" style="112"/>
    <col min="16" max="16" width="13.44140625" style="112" customWidth="1"/>
    <col min="17" max="17" width="11.88671875" style="112" customWidth="1"/>
    <col min="18" max="18" width="11.33203125" style="112" customWidth="1"/>
    <col min="19" max="16384" width="9.109375" style="112"/>
  </cols>
  <sheetData>
    <row r="2" spans="2:18" x14ac:dyDescent="0.25">
      <c r="B2" s="111" t="s">
        <v>83</v>
      </c>
    </row>
    <row r="3" spans="2:18" x14ac:dyDescent="0.25">
      <c r="B3" s="113" t="s">
        <v>0</v>
      </c>
    </row>
    <row r="4" spans="2:18" x14ac:dyDescent="0.25">
      <c r="B4" s="113" t="s">
        <v>84</v>
      </c>
    </row>
    <row r="5" spans="2:18" ht="83.25" customHeight="1" x14ac:dyDescent="0.25">
      <c r="B5" s="114" t="s">
        <v>1</v>
      </c>
      <c r="C5" s="114" t="s">
        <v>2</v>
      </c>
      <c r="D5" s="115" t="s">
        <v>85</v>
      </c>
      <c r="E5" s="115" t="s">
        <v>4</v>
      </c>
      <c r="F5" s="115" t="s">
        <v>5</v>
      </c>
      <c r="H5" s="114" t="s">
        <v>1</v>
      </c>
      <c r="I5" s="114" t="s">
        <v>2</v>
      </c>
      <c r="J5" s="115" t="s">
        <v>85</v>
      </c>
      <c r="K5" s="115" t="s">
        <v>4</v>
      </c>
      <c r="L5" s="115" t="s">
        <v>5</v>
      </c>
      <c r="N5" s="114" t="s">
        <v>1</v>
      </c>
      <c r="O5" s="114" t="s">
        <v>2</v>
      </c>
      <c r="P5" s="115" t="s">
        <v>85</v>
      </c>
      <c r="Q5" s="115" t="s">
        <v>4</v>
      </c>
      <c r="R5" s="115" t="s">
        <v>5</v>
      </c>
    </row>
    <row r="6" spans="2:18" x14ac:dyDescent="0.25">
      <c r="B6" s="114"/>
      <c r="C6" s="114"/>
      <c r="D6" s="115" t="s">
        <v>10</v>
      </c>
      <c r="E6" s="115" t="s">
        <v>10</v>
      </c>
      <c r="F6" s="115" t="s">
        <v>10</v>
      </c>
      <c r="H6" s="114"/>
      <c r="I6" s="114"/>
      <c r="J6" s="115" t="s">
        <v>10</v>
      </c>
      <c r="K6" s="115" t="s">
        <v>10</v>
      </c>
      <c r="L6" s="115" t="s">
        <v>10</v>
      </c>
      <c r="N6" s="114"/>
      <c r="O6" s="114"/>
      <c r="P6" s="115" t="s">
        <v>10</v>
      </c>
      <c r="Q6" s="115" t="s">
        <v>10</v>
      </c>
      <c r="R6" s="115" t="s">
        <v>10</v>
      </c>
    </row>
    <row r="7" spans="2:18" ht="15" x14ac:dyDescent="0.25">
      <c r="B7" s="116">
        <v>44652</v>
      </c>
      <c r="C7" s="117" t="s">
        <v>86</v>
      </c>
      <c r="D7" s="118">
        <f>+((5.4753*25/100)/3)*1000000</f>
        <v>456275</v>
      </c>
      <c r="E7" s="119">
        <f>120000+605000</f>
        <v>725000</v>
      </c>
      <c r="F7" s="119">
        <f>120000+605000</f>
        <v>725000</v>
      </c>
      <c r="H7" s="116">
        <v>45017</v>
      </c>
      <c r="I7" s="117" t="s">
        <v>86</v>
      </c>
      <c r="J7" s="118">
        <f>+((5.4753*25/100)/3)*1000000</f>
        <v>456275</v>
      </c>
      <c r="K7" s="120">
        <f>270000+670000</f>
        <v>940000</v>
      </c>
      <c r="L7" s="120">
        <f>270000+670000</f>
        <v>940000</v>
      </c>
      <c r="N7" s="116">
        <v>45383</v>
      </c>
      <c r="O7" s="117" t="s">
        <v>86</v>
      </c>
      <c r="P7" s="118">
        <f>+((3.3975*25/100)/3)*1000000</f>
        <v>283125</v>
      </c>
      <c r="Q7" s="119">
        <f>270000+767000</f>
        <v>1037000</v>
      </c>
      <c r="R7" s="119">
        <f>270000+767000</f>
        <v>1037000</v>
      </c>
    </row>
    <row r="8" spans="2:18" ht="15" x14ac:dyDescent="0.25">
      <c r="B8" s="116"/>
      <c r="C8" s="117" t="s">
        <v>87</v>
      </c>
      <c r="D8" s="118">
        <f>+((0.745*25/100)/3)*1000000</f>
        <v>62083.333333333328</v>
      </c>
      <c r="E8" s="119">
        <v>0</v>
      </c>
      <c r="F8" s="119">
        <v>0</v>
      </c>
      <c r="H8" s="116"/>
      <c r="I8" s="117" t="s">
        <v>87</v>
      </c>
      <c r="J8" s="118">
        <f>+((0.373*25/100)/3)*1000000</f>
        <v>31083.333333333336</v>
      </c>
      <c r="K8" s="120">
        <v>0</v>
      </c>
      <c r="L8" s="120">
        <v>0</v>
      </c>
      <c r="N8" s="116"/>
      <c r="O8" s="117" t="s">
        <v>87</v>
      </c>
      <c r="P8" s="118">
        <f>+((1.737*25/100)/3)*1000000</f>
        <v>144750.00000000003</v>
      </c>
      <c r="Q8" s="119">
        <f>115500+30000</f>
        <v>145500</v>
      </c>
      <c r="R8" s="119">
        <f>115500+30000</f>
        <v>145500</v>
      </c>
    </row>
    <row r="9" spans="2:18" ht="15" x14ac:dyDescent="0.25">
      <c r="B9" s="116"/>
      <c r="C9" s="117" t="s">
        <v>88</v>
      </c>
      <c r="D9" s="118">
        <f>+((1.254*25/100)/3)*1000000</f>
        <v>104500</v>
      </c>
      <c r="E9" s="119">
        <f>112300+60000+258450+93500</f>
        <v>524250</v>
      </c>
      <c r="F9" s="119">
        <f>112300+60000+258450+93500</f>
        <v>524250</v>
      </c>
      <c r="H9" s="116"/>
      <c r="I9" s="117" t="s">
        <v>88</v>
      </c>
      <c r="J9" s="118">
        <f>+((0.627*25/100)/3)*1000000</f>
        <v>52250</v>
      </c>
      <c r="K9" s="120">
        <f>170000+252000+104850</f>
        <v>526850</v>
      </c>
      <c r="L9" s="120">
        <f>170000+252000+104850</f>
        <v>526850</v>
      </c>
      <c r="N9" s="116"/>
      <c r="O9" s="117" t="s">
        <v>88</v>
      </c>
      <c r="P9" s="118">
        <f>+((1.853*25/100)/3)*1000000</f>
        <v>154416.66666666669</v>
      </c>
      <c r="Q9" s="119">
        <f>167000+250000+94400</f>
        <v>511400</v>
      </c>
      <c r="R9" s="119">
        <f>167000+250000+94400</f>
        <v>511400</v>
      </c>
    </row>
    <row r="10" spans="2:18" ht="15" x14ac:dyDescent="0.25">
      <c r="B10" s="116"/>
      <c r="C10" s="117" t="s">
        <v>89</v>
      </c>
      <c r="D10" s="121">
        <f>+(1.3/12)*1000000</f>
        <v>108333.33333333334</v>
      </c>
      <c r="E10" s="119">
        <v>0</v>
      </c>
      <c r="F10" s="119">
        <v>0</v>
      </c>
      <c r="H10" s="116"/>
      <c r="I10" s="117" t="s">
        <v>89</v>
      </c>
      <c r="J10" s="121">
        <f>+(1.3/12)*1000000</f>
        <v>108333.33333333334</v>
      </c>
      <c r="K10" s="119">
        <v>0</v>
      </c>
      <c r="L10" s="119">
        <v>0</v>
      </c>
      <c r="N10" s="116"/>
      <c r="O10" s="117" t="s">
        <v>89</v>
      </c>
      <c r="P10" s="121">
        <f>+(1.3/12)*1000000</f>
        <v>108333.33333333334</v>
      </c>
      <c r="Q10" s="119">
        <f>30*3850</f>
        <v>115500</v>
      </c>
      <c r="R10" s="119">
        <f>30*3850</f>
        <v>115500</v>
      </c>
    </row>
    <row r="11" spans="2:18" ht="15" x14ac:dyDescent="0.25">
      <c r="B11" s="116">
        <v>44682</v>
      </c>
      <c r="C11" s="117" t="s">
        <v>86</v>
      </c>
      <c r="D11" s="118">
        <f>+((5.4753*25/100)/3)*1000000</f>
        <v>456275</v>
      </c>
      <c r="E11" s="119">
        <f>120000+1*31*3850+605000</f>
        <v>844350</v>
      </c>
      <c r="F11" s="119">
        <f>120000+1*31*3850+605000</f>
        <v>844350</v>
      </c>
      <c r="H11" s="116">
        <v>45047</v>
      </c>
      <c r="I11" s="117" t="s">
        <v>86</v>
      </c>
      <c r="J11" s="118">
        <f>+((5.4753*25/100)/3)*1000000</f>
        <v>456275</v>
      </c>
      <c r="K11" s="119">
        <f>279000+670000</f>
        <v>949000</v>
      </c>
      <c r="L11" s="119">
        <f>279000+670000</f>
        <v>949000</v>
      </c>
      <c r="N11" s="116">
        <v>45413</v>
      </c>
      <c r="O11" s="117" t="s">
        <v>86</v>
      </c>
      <c r="P11" s="118">
        <f>+((3.3975*25/100)/3)*1000000</f>
        <v>283125</v>
      </c>
      <c r="Q11" s="119">
        <f>93000+600000</f>
        <v>693000</v>
      </c>
      <c r="R11" s="119">
        <f>93000+600000</f>
        <v>693000</v>
      </c>
    </row>
    <row r="12" spans="2:18" ht="15" x14ac:dyDescent="0.25">
      <c r="B12" s="116"/>
      <c r="C12" s="117" t="s">
        <v>87</v>
      </c>
      <c r="D12" s="118">
        <f>+((0.745*25/100)/3)*1000000</f>
        <v>62083.333333333328</v>
      </c>
      <c r="E12" s="119">
        <v>0</v>
      </c>
      <c r="F12" s="119">
        <v>0</v>
      </c>
      <c r="H12" s="116"/>
      <c r="I12" s="117" t="s">
        <v>87</v>
      </c>
      <c r="J12" s="118">
        <f>+((0.373*25/100)/3)*1000000</f>
        <v>31083.333333333336</v>
      </c>
      <c r="K12" s="119">
        <v>0</v>
      </c>
      <c r="L12" s="119">
        <v>0</v>
      </c>
      <c r="N12" s="116"/>
      <c r="O12" s="117" t="s">
        <v>87</v>
      </c>
      <c r="P12" s="118">
        <f>+((1.737*25/100)/3)*1000000</f>
        <v>144750.00000000003</v>
      </c>
      <c r="Q12" s="119">
        <v>238700</v>
      </c>
      <c r="R12" s="119">
        <v>238700</v>
      </c>
    </row>
    <row r="13" spans="2:18" ht="15" x14ac:dyDescent="0.25">
      <c r="B13" s="116"/>
      <c r="C13" s="117" t="s">
        <v>88</v>
      </c>
      <c r="D13" s="118">
        <f>+((1.254*25/100)/3)*1000000</f>
        <v>104500</v>
      </c>
      <c r="E13" s="119">
        <f>150000+40000+33636+110553+40061</f>
        <v>374250</v>
      </c>
      <c r="F13" s="119">
        <f>150000+40000+33636+110553+40061</f>
        <v>374250</v>
      </c>
      <c r="H13" s="116"/>
      <c r="I13" s="117" t="s">
        <v>88</v>
      </c>
      <c r="J13" s="118">
        <f>+((0.627*25/100)/3)*1000000</f>
        <v>52250</v>
      </c>
      <c r="K13" s="119">
        <v>0</v>
      </c>
      <c r="L13" s="119">
        <v>0</v>
      </c>
      <c r="N13" s="116"/>
      <c r="O13" s="117" t="s">
        <v>88</v>
      </c>
      <c r="P13" s="118">
        <f>+((1.853*25/100)/3)*1000000</f>
        <v>154416.66666666669</v>
      </c>
      <c r="Q13" s="119">
        <f>119040+178560+74400</f>
        <v>372000</v>
      </c>
      <c r="R13" s="119">
        <f>119040+178560+74400</f>
        <v>372000</v>
      </c>
    </row>
    <row r="14" spans="2:18" ht="15" x14ac:dyDescent="0.25">
      <c r="B14" s="116"/>
      <c r="C14" s="117" t="s">
        <v>89</v>
      </c>
      <c r="D14" s="121">
        <f>+(1.3/12)*1000000</f>
        <v>108333.33333333334</v>
      </c>
      <c r="E14" s="119">
        <v>0</v>
      </c>
      <c r="F14" s="119">
        <v>0</v>
      </c>
      <c r="H14" s="116"/>
      <c r="I14" s="117" t="s">
        <v>89</v>
      </c>
      <c r="J14" s="121">
        <f>+(1.3/12)*1000000</f>
        <v>108333.33333333334</v>
      </c>
      <c r="K14" s="119">
        <v>0</v>
      </c>
      <c r="L14" s="119">
        <v>0</v>
      </c>
      <c r="N14" s="116"/>
      <c r="O14" s="117" t="s">
        <v>89</v>
      </c>
      <c r="P14" s="121">
        <f>+(1.3/12)*1000000</f>
        <v>108333.33333333334</v>
      </c>
      <c r="Q14" s="119">
        <f>31*3850</f>
        <v>119350</v>
      </c>
      <c r="R14" s="119">
        <f>31*3850</f>
        <v>119350</v>
      </c>
    </row>
    <row r="15" spans="2:18" ht="15" x14ac:dyDescent="0.25">
      <c r="B15" s="116">
        <v>44713</v>
      </c>
      <c r="C15" s="117" t="s">
        <v>86</v>
      </c>
      <c r="D15" s="118">
        <f>+((5.4753*25/100)/3)*1000000</f>
        <v>456275</v>
      </c>
      <c r="E15" s="119">
        <f>120000+605000</f>
        <v>725000</v>
      </c>
      <c r="F15" s="119">
        <f>120000+605000</f>
        <v>725000</v>
      </c>
      <c r="H15" s="116">
        <v>45078</v>
      </c>
      <c r="I15" s="117" t="s">
        <v>86</v>
      </c>
      <c r="J15" s="118">
        <f>+((5.4753*25/100)/3)*1000000</f>
        <v>456275</v>
      </c>
      <c r="K15" s="119">
        <f>270000+715000</f>
        <v>985000</v>
      </c>
      <c r="L15" s="119">
        <f>270000+715000</f>
        <v>985000</v>
      </c>
      <c r="N15" s="116">
        <v>45444</v>
      </c>
      <c r="O15" s="117" t="s">
        <v>86</v>
      </c>
      <c r="P15" s="118">
        <f>+((3.3975*25/100)/3)*1000000</f>
        <v>283125</v>
      </c>
      <c r="Q15" s="119">
        <f>93000+833000</f>
        <v>926000</v>
      </c>
      <c r="R15" s="119">
        <f>93000+833000</f>
        <v>926000</v>
      </c>
    </row>
    <row r="16" spans="2:18" ht="15" x14ac:dyDescent="0.25">
      <c r="B16" s="116"/>
      <c r="C16" s="117" t="s">
        <v>87</v>
      </c>
      <c r="D16" s="118">
        <f>+((0.745*25/100)/3)*1000000</f>
        <v>62083.333333333328</v>
      </c>
      <c r="E16" s="119">
        <v>0</v>
      </c>
      <c r="F16" s="119">
        <v>0</v>
      </c>
      <c r="H16" s="116"/>
      <c r="I16" s="117" t="s">
        <v>87</v>
      </c>
      <c r="J16" s="118">
        <f>+((0.373*25/100)/3)*1000000</f>
        <v>31083.333333333336</v>
      </c>
      <c r="K16" s="119">
        <v>155160</v>
      </c>
      <c r="L16" s="119">
        <v>155160</v>
      </c>
      <c r="N16" s="116"/>
      <c r="O16" s="117" t="s">
        <v>87</v>
      </c>
      <c r="P16" s="118">
        <f>+((1.737*25/100)/3)*1000000</f>
        <v>144750.00000000003</v>
      </c>
      <c r="Q16" s="119">
        <v>240000</v>
      </c>
      <c r="R16" s="119">
        <v>240000</v>
      </c>
    </row>
    <row r="17" spans="2:18" ht="15" x14ac:dyDescent="0.25">
      <c r="B17" s="116"/>
      <c r="C17" s="117" t="s">
        <v>88</v>
      </c>
      <c r="D17" s="118">
        <f>+((1.254*25/100)/3)*1000000</f>
        <v>104500</v>
      </c>
      <c r="E17" s="119">
        <f>75000+73636+110553+40061</f>
        <v>299250</v>
      </c>
      <c r="F17" s="119">
        <f>75000+73636+110553+40061</f>
        <v>299250</v>
      </c>
      <c r="H17" s="116"/>
      <c r="I17" s="117" t="s">
        <v>88</v>
      </c>
      <c r="J17" s="118">
        <f>+((0.627*25/100)/3)*1000000</f>
        <v>52250</v>
      </c>
      <c r="K17" s="119">
        <f>251640+104850</f>
        <v>356490</v>
      </c>
      <c r="L17" s="119">
        <f>251640+104850</f>
        <v>356490</v>
      </c>
      <c r="N17" s="116"/>
      <c r="O17" s="117" t="s">
        <v>88</v>
      </c>
      <c r="P17" s="118">
        <f>+((1.853*25/100)/3)*1000000</f>
        <v>154416.66666666669</v>
      </c>
      <c r="Q17" s="119">
        <f>150000+200000+94000</f>
        <v>444000</v>
      </c>
      <c r="R17" s="119">
        <f>150000+200000+94000</f>
        <v>444000</v>
      </c>
    </row>
    <row r="18" spans="2:18" ht="15" x14ac:dyDescent="0.25">
      <c r="B18" s="116"/>
      <c r="C18" s="117" t="s">
        <v>89</v>
      </c>
      <c r="D18" s="121">
        <f>+(1.3/12)*1000000</f>
        <v>108333.33333333334</v>
      </c>
      <c r="E18" s="119">
        <v>0</v>
      </c>
      <c r="F18" s="119">
        <v>0</v>
      </c>
      <c r="H18" s="116"/>
      <c r="I18" s="117" t="s">
        <v>89</v>
      </c>
      <c r="J18" s="121">
        <f>+(1.3/12)*1000000</f>
        <v>108333.33333333334</v>
      </c>
      <c r="K18" s="119">
        <v>0</v>
      </c>
      <c r="L18" s="119">
        <v>0</v>
      </c>
      <c r="N18" s="116"/>
      <c r="O18" s="117" t="s">
        <v>89</v>
      </c>
      <c r="P18" s="121">
        <f>+(1.3/12)*1000000</f>
        <v>108333.33333333334</v>
      </c>
      <c r="Q18" s="119">
        <f>30*3850</f>
        <v>115500</v>
      </c>
      <c r="R18" s="119">
        <f>30*3850</f>
        <v>115500</v>
      </c>
    </row>
    <row r="19" spans="2:18" ht="15" x14ac:dyDescent="0.25">
      <c r="B19" s="116">
        <v>44743</v>
      </c>
      <c r="C19" s="117" t="s">
        <v>86</v>
      </c>
      <c r="D19" s="118">
        <f>+((5.4753*22/100)/3)*1000000</f>
        <v>401522</v>
      </c>
      <c r="E19" s="119">
        <f>120000+605000</f>
        <v>725000</v>
      </c>
      <c r="F19" s="119">
        <f>120000+605000</f>
        <v>725000</v>
      </c>
      <c r="H19" s="116">
        <v>45108</v>
      </c>
      <c r="I19" s="117" t="s">
        <v>86</v>
      </c>
      <c r="J19" s="118">
        <f>+((5.4753*22/100)/3)*1000000</f>
        <v>401522</v>
      </c>
      <c r="K19" s="120">
        <f>279000+734000</f>
        <v>1013000</v>
      </c>
      <c r="L19" s="120">
        <f>279000+734000</f>
        <v>1013000</v>
      </c>
      <c r="N19" s="116">
        <v>45474</v>
      </c>
      <c r="O19" s="117" t="s">
        <v>86</v>
      </c>
      <c r="P19" s="118">
        <f>+((3.3975*22/100)/3)*1000000</f>
        <v>249150</v>
      </c>
      <c r="Q19" s="119">
        <f>93000+735000</f>
        <v>828000</v>
      </c>
      <c r="R19" s="119">
        <f>93000+735000</f>
        <v>828000</v>
      </c>
    </row>
    <row r="20" spans="2:18" ht="15" x14ac:dyDescent="0.25">
      <c r="B20" s="116"/>
      <c r="C20" s="117" t="s">
        <v>87</v>
      </c>
      <c r="D20" s="118">
        <f>+((0.745*22/100)/3)*1000000</f>
        <v>54633.333333333336</v>
      </c>
      <c r="E20" s="119">
        <v>0</v>
      </c>
      <c r="F20" s="119">
        <v>0</v>
      </c>
      <c r="H20" s="116"/>
      <c r="I20" s="117" t="s">
        <v>87</v>
      </c>
      <c r="J20" s="118">
        <f>+((0.373*22/100)/3)*1000000</f>
        <v>27353.333333333328</v>
      </c>
      <c r="K20" s="120">
        <v>0</v>
      </c>
      <c r="L20" s="120">
        <v>0</v>
      </c>
      <c r="N20" s="116"/>
      <c r="O20" s="117" t="s">
        <v>87</v>
      </c>
      <c r="P20" s="118">
        <f>+((1.737*22/100)/3)*1000000</f>
        <v>127380</v>
      </c>
      <c r="Q20" s="119">
        <v>238700</v>
      </c>
      <c r="R20" s="119">
        <v>238700</v>
      </c>
    </row>
    <row r="21" spans="2:18" ht="15" x14ac:dyDescent="0.25">
      <c r="B21" s="116"/>
      <c r="C21" s="117" t="s">
        <v>88</v>
      </c>
      <c r="D21" s="118">
        <f>+((1.254*22/100)/3)*1000000</f>
        <v>91960</v>
      </c>
      <c r="E21" s="119">
        <f>200000+150000+111340</f>
        <v>461340</v>
      </c>
      <c r="F21" s="119">
        <f>200000+150000+111340</f>
        <v>461340</v>
      </c>
      <c r="H21" s="116"/>
      <c r="I21" s="117" t="s">
        <v>88</v>
      </c>
      <c r="J21" s="118">
        <f>+((0.627*22/100)/3)*1000000</f>
        <v>45980</v>
      </c>
      <c r="K21" s="120">
        <f>221443+92268</f>
        <v>313711</v>
      </c>
      <c r="L21" s="120">
        <f>221443+92268</f>
        <v>313711</v>
      </c>
      <c r="N21" s="116"/>
      <c r="O21" s="117" t="s">
        <v>88</v>
      </c>
      <c r="P21" s="118">
        <f>+((1.853*22/100)/3)*1000000</f>
        <v>135886.66666666666</v>
      </c>
      <c r="Q21" s="119">
        <f>133000+200000+83000</f>
        <v>416000</v>
      </c>
      <c r="R21" s="119">
        <f>133000+200000+83000</f>
        <v>416000</v>
      </c>
    </row>
    <row r="22" spans="2:18" ht="15" x14ac:dyDescent="0.25">
      <c r="B22" s="116"/>
      <c r="C22" s="117" t="s">
        <v>89</v>
      </c>
      <c r="D22" s="121">
        <f>+(1.3/12)*1000000</f>
        <v>108333.33333333334</v>
      </c>
      <c r="E22" s="119">
        <v>0</v>
      </c>
      <c r="F22" s="119">
        <v>0</v>
      </c>
      <c r="H22" s="116"/>
      <c r="I22" s="117" t="s">
        <v>89</v>
      </c>
      <c r="J22" s="121">
        <f>+(1.3/12)*1000000</f>
        <v>108333.33333333334</v>
      </c>
      <c r="K22" s="119">
        <v>0</v>
      </c>
      <c r="L22" s="119">
        <v>0</v>
      </c>
      <c r="N22" s="116"/>
      <c r="O22" s="117" t="s">
        <v>89</v>
      </c>
      <c r="P22" s="121">
        <f>+(1.3/12)*1000000</f>
        <v>108333.33333333334</v>
      </c>
      <c r="Q22" s="119">
        <f>31*3850</f>
        <v>119350</v>
      </c>
      <c r="R22" s="119">
        <f>31*3850</f>
        <v>119350</v>
      </c>
    </row>
    <row r="23" spans="2:18" ht="15" x14ac:dyDescent="0.25">
      <c r="B23" s="116">
        <v>44774</v>
      </c>
      <c r="C23" s="117" t="s">
        <v>86</v>
      </c>
      <c r="D23" s="118">
        <f>+((5.4753*22/100)/3)*1000000</f>
        <v>401522</v>
      </c>
      <c r="E23" s="120">
        <f>279000+586660</f>
        <v>865660</v>
      </c>
      <c r="F23" s="120">
        <f>279000+586660</f>
        <v>865660</v>
      </c>
      <c r="H23" s="116">
        <v>45139</v>
      </c>
      <c r="I23" s="117" t="s">
        <v>86</v>
      </c>
      <c r="J23" s="118">
        <f>+((5.4753*22/100)/3)*1000000</f>
        <v>401522</v>
      </c>
      <c r="K23" s="119">
        <v>279000</v>
      </c>
      <c r="L23" s="119">
        <v>279000</v>
      </c>
      <c r="N23" s="116">
        <v>45505</v>
      </c>
      <c r="O23" s="117" t="s">
        <v>86</v>
      </c>
      <c r="P23" s="118">
        <f>+((3.3975*22/100)/3)*1000000</f>
        <v>249150</v>
      </c>
      <c r="Q23" s="119">
        <f>1*31*3850+93000+735000</f>
        <v>947350</v>
      </c>
      <c r="R23" s="119">
        <f>1*31*3850+93000+735000</f>
        <v>947350</v>
      </c>
    </row>
    <row r="24" spans="2:18" ht="15" x14ac:dyDescent="0.25">
      <c r="B24" s="116"/>
      <c r="C24" s="117" t="s">
        <v>87</v>
      </c>
      <c r="D24" s="118">
        <f>+((0.745*22/100)/3)*1000000</f>
        <v>54633.333333333336</v>
      </c>
      <c r="E24" s="120">
        <v>0</v>
      </c>
      <c r="F24" s="120">
        <v>0</v>
      </c>
      <c r="H24" s="116"/>
      <c r="I24" s="117" t="s">
        <v>87</v>
      </c>
      <c r="J24" s="118">
        <f>+((0.373*22/100)/3)*1000000</f>
        <v>27353.333333333328</v>
      </c>
      <c r="K24" s="119">
        <v>0</v>
      </c>
      <c r="L24" s="119">
        <v>0</v>
      </c>
      <c r="N24" s="116"/>
      <c r="O24" s="117" t="s">
        <v>87</v>
      </c>
      <c r="P24" s="118">
        <f>+((1.737*22/100)/3)*1000000</f>
        <v>127380</v>
      </c>
      <c r="Q24" s="119">
        <v>238700</v>
      </c>
      <c r="R24" s="119">
        <v>238700</v>
      </c>
    </row>
    <row r="25" spans="2:18" ht="15" x14ac:dyDescent="0.25">
      <c r="B25" s="116"/>
      <c r="C25" s="117" t="s">
        <v>88</v>
      </c>
      <c r="D25" s="118">
        <f>+((1.254*22/100)/3)*1000000</f>
        <v>91960</v>
      </c>
      <c r="E25" s="120">
        <f>400000+61340</f>
        <v>461340</v>
      </c>
      <c r="F25" s="120">
        <f>400000+61340</f>
        <v>461340</v>
      </c>
      <c r="H25" s="116"/>
      <c r="I25" s="117" t="s">
        <v>88</v>
      </c>
      <c r="J25" s="118">
        <f>+((0.627*22/100)/3)*1000000</f>
        <v>45980</v>
      </c>
      <c r="K25" s="119">
        <v>0</v>
      </c>
      <c r="L25" s="119">
        <v>0</v>
      </c>
      <c r="N25" s="116"/>
      <c r="O25" s="117" t="s">
        <v>88</v>
      </c>
      <c r="P25" s="118">
        <f>+((1.853*22/100)/3)*1000000</f>
        <v>135886.66666666666</v>
      </c>
      <c r="Q25" s="119">
        <f>133000+200000+83000</f>
        <v>416000</v>
      </c>
      <c r="R25" s="119">
        <f>133000+200000+83000</f>
        <v>416000</v>
      </c>
    </row>
    <row r="26" spans="2:18" ht="15" x14ac:dyDescent="0.25">
      <c r="B26" s="116"/>
      <c r="C26" s="117" t="s">
        <v>89</v>
      </c>
      <c r="D26" s="121">
        <f>+(1.3/12)*1000000</f>
        <v>108333.33333333334</v>
      </c>
      <c r="E26" s="119">
        <v>0</v>
      </c>
      <c r="F26" s="119">
        <v>0</v>
      </c>
      <c r="H26" s="116"/>
      <c r="I26" s="117" t="s">
        <v>89</v>
      </c>
      <c r="J26" s="121">
        <f>+(1.3/12)*1000000</f>
        <v>108333.33333333334</v>
      </c>
      <c r="K26" s="119">
        <f>62*3850</f>
        <v>238700</v>
      </c>
      <c r="L26" s="119">
        <f>62*3850</f>
        <v>238700</v>
      </c>
      <c r="N26" s="116"/>
      <c r="O26" s="117" t="s">
        <v>89</v>
      </c>
      <c r="P26" s="121">
        <f>+(1.3/12)*1000000</f>
        <v>108333.33333333334</v>
      </c>
      <c r="Q26" s="119">
        <f>31*3850</f>
        <v>119350</v>
      </c>
      <c r="R26" s="119">
        <f>31*3850</f>
        <v>119350</v>
      </c>
    </row>
    <row r="27" spans="2:18" ht="15" x14ac:dyDescent="0.25">
      <c r="B27" s="116">
        <v>44805</v>
      </c>
      <c r="C27" s="117" t="s">
        <v>86</v>
      </c>
      <c r="D27" s="118">
        <f>+((5.4753*22/100)/3)*1000000</f>
        <v>401522</v>
      </c>
      <c r="E27" s="120">
        <f>270000+577500</f>
        <v>847500</v>
      </c>
      <c r="F27" s="120">
        <f>270000+577500</f>
        <v>847500</v>
      </c>
      <c r="H27" s="116">
        <v>45170</v>
      </c>
      <c r="I27" s="117" t="s">
        <v>86</v>
      </c>
      <c r="J27" s="118">
        <f>+((5.4753*22/100)/3)*1000000</f>
        <v>401522</v>
      </c>
      <c r="K27" s="119">
        <f>270000+518000</f>
        <v>788000</v>
      </c>
      <c r="L27" s="119">
        <f>270000+518000</f>
        <v>788000</v>
      </c>
      <c r="N27" s="116">
        <v>45536</v>
      </c>
      <c r="O27" s="117" t="s">
        <v>86</v>
      </c>
      <c r="P27" s="118">
        <f>+((3.3975*22/100)/3)*1000000</f>
        <v>249150</v>
      </c>
      <c r="Q27" s="119">
        <f>115500+45000+346500</f>
        <v>507000</v>
      </c>
      <c r="R27" s="119">
        <f>115500+45000+346500</f>
        <v>507000</v>
      </c>
    </row>
    <row r="28" spans="2:18" ht="15" x14ac:dyDescent="0.25">
      <c r="B28" s="116"/>
      <c r="C28" s="117" t="s">
        <v>87</v>
      </c>
      <c r="D28" s="118">
        <f>+((0.745*22/100)/3)*1000000</f>
        <v>54633.333333333336</v>
      </c>
      <c r="E28" s="120">
        <v>115500</v>
      </c>
      <c r="F28" s="120">
        <v>115500</v>
      </c>
      <c r="H28" s="116"/>
      <c r="I28" s="117" t="s">
        <v>87</v>
      </c>
      <c r="J28" s="118">
        <f>+((0.373*22/100)/3)*1000000</f>
        <v>27353.333333333328</v>
      </c>
      <c r="K28" s="119">
        <v>0</v>
      </c>
      <c r="L28" s="119">
        <v>0</v>
      </c>
      <c r="N28" s="116"/>
      <c r="O28" s="117" t="s">
        <v>87</v>
      </c>
      <c r="P28" s="118">
        <f>+((1.737*22/100)/3)*1000000</f>
        <v>127380</v>
      </c>
      <c r="Q28" s="119">
        <f>57750+231000</f>
        <v>288750</v>
      </c>
      <c r="R28" s="119">
        <f>57750+231000</f>
        <v>288750</v>
      </c>
    </row>
    <row r="29" spans="2:18" ht="15" x14ac:dyDescent="0.25">
      <c r="B29" s="116"/>
      <c r="C29" s="117" t="s">
        <v>88</v>
      </c>
      <c r="D29" s="118">
        <f>+((1.254*22/100)/3)*1000000</f>
        <v>91960</v>
      </c>
      <c r="E29" s="120">
        <v>581340</v>
      </c>
      <c r="F29" s="120">
        <v>581340</v>
      </c>
      <c r="H29" s="116"/>
      <c r="I29" s="117" t="s">
        <v>88</v>
      </c>
      <c r="J29" s="118">
        <f>+((0.627*22/100)/3)*1000000</f>
        <v>45980</v>
      </c>
      <c r="K29" s="119">
        <f>222000+92468</f>
        <v>314468</v>
      </c>
      <c r="L29" s="119">
        <f>222000+92468</f>
        <v>314468</v>
      </c>
      <c r="N29" s="116"/>
      <c r="O29" s="117" t="s">
        <v>88</v>
      </c>
      <c r="P29" s="118">
        <f>+((1.853*22/100)/3)*1000000</f>
        <v>135886.66666666666</v>
      </c>
      <c r="Q29" s="119">
        <f>230931+115500</f>
        <v>346431</v>
      </c>
      <c r="R29" s="119">
        <f>230931+115500</f>
        <v>346431</v>
      </c>
    </row>
    <row r="30" spans="2:18" ht="15" x14ac:dyDescent="0.25">
      <c r="B30" s="116"/>
      <c r="C30" s="117" t="s">
        <v>89</v>
      </c>
      <c r="D30" s="121">
        <f>+(1.3/12)*1000000</f>
        <v>108333.33333333334</v>
      </c>
      <c r="E30" s="119">
        <v>0</v>
      </c>
      <c r="F30" s="119">
        <v>0</v>
      </c>
      <c r="H30" s="116"/>
      <c r="I30" s="117" t="s">
        <v>89</v>
      </c>
      <c r="J30" s="121">
        <f>+(1.3/12)*1000000</f>
        <v>108333.33333333334</v>
      </c>
      <c r="K30" s="119">
        <v>0</v>
      </c>
      <c r="L30" s="119">
        <v>0</v>
      </c>
      <c r="N30" s="116"/>
      <c r="O30" s="117" t="s">
        <v>89</v>
      </c>
      <c r="P30" s="121">
        <f>+(1.3/12)*1000000</f>
        <v>108333.33333333334</v>
      </c>
      <c r="Q30" s="119">
        <f>30*3850</f>
        <v>115500</v>
      </c>
      <c r="R30" s="119">
        <f>30*3850</f>
        <v>115500</v>
      </c>
    </row>
    <row r="31" spans="2:18" ht="15" x14ac:dyDescent="0.25">
      <c r="B31" s="116">
        <v>44835</v>
      </c>
      <c r="C31" s="117" t="s">
        <v>86</v>
      </c>
      <c r="D31" s="118">
        <f>+((5.4753*25/100)/3)*1000000</f>
        <v>456275</v>
      </c>
      <c r="E31" s="120">
        <f>279000+596750</f>
        <v>875750</v>
      </c>
      <c r="F31" s="120">
        <f>279000+596750</f>
        <v>875750</v>
      </c>
      <c r="H31" s="116">
        <v>45200</v>
      </c>
      <c r="I31" s="117" t="s">
        <v>86</v>
      </c>
      <c r="J31" s="118">
        <f>+((5.4753*25/100)/3)*1000000</f>
        <v>456275</v>
      </c>
      <c r="K31" s="119">
        <f>279000+833330</f>
        <v>1112330</v>
      </c>
      <c r="L31" s="119">
        <f>279000+833330</f>
        <v>1112330</v>
      </c>
      <c r="N31" s="116">
        <v>45566</v>
      </c>
      <c r="O31" s="117" t="s">
        <v>86</v>
      </c>
      <c r="P31" s="118">
        <f>+((3.3975*25/100)/3)*1000000</f>
        <v>283125</v>
      </c>
      <c r="Q31" s="119">
        <f>93000+45000+257290</f>
        <v>395290</v>
      </c>
      <c r="R31" s="119">
        <f>93000+45000+257290</f>
        <v>395290</v>
      </c>
    </row>
    <row r="32" spans="2:18" ht="15" x14ac:dyDescent="0.25">
      <c r="B32" s="116"/>
      <c r="C32" s="117" t="s">
        <v>87</v>
      </c>
      <c r="D32" s="118">
        <f>+((0.745*25/100)/3)*1000000</f>
        <v>62083.333333333328</v>
      </c>
      <c r="E32" s="120">
        <v>0</v>
      </c>
      <c r="F32" s="120">
        <v>0</v>
      </c>
      <c r="H32" s="116"/>
      <c r="I32" s="117" t="s">
        <v>87</v>
      </c>
      <c r="J32" s="118">
        <f>+((0.373*25/100)/3)*1000000</f>
        <v>31083.333333333336</v>
      </c>
      <c r="K32" s="119">
        <v>0</v>
      </c>
      <c r="L32" s="119">
        <v>0</v>
      </c>
      <c r="N32" s="116"/>
      <c r="O32" s="117" t="s">
        <v>87</v>
      </c>
      <c r="P32" s="118">
        <f>+((1.737*25/100)/3)*1000000</f>
        <v>144750.00000000003</v>
      </c>
      <c r="Q32" s="119">
        <f>57750+173250</f>
        <v>231000</v>
      </c>
      <c r="R32" s="119">
        <f>57750+173250</f>
        <v>231000</v>
      </c>
    </row>
    <row r="33" spans="2:18" ht="15" x14ac:dyDescent="0.25">
      <c r="B33" s="116"/>
      <c r="C33" s="117" t="s">
        <v>88</v>
      </c>
      <c r="D33" s="118">
        <f>+((1.254*25/100)/3)*1000000</f>
        <v>104500</v>
      </c>
      <c r="E33" s="120">
        <v>529350</v>
      </c>
      <c r="F33" s="120">
        <v>529350</v>
      </c>
      <c r="H33" s="116"/>
      <c r="I33" s="117" t="s">
        <v>88</v>
      </c>
      <c r="J33" s="118">
        <f>+((0.627*25/100)/3)*1000000</f>
        <v>52250</v>
      </c>
      <c r="K33" s="119">
        <f>168000+110000+104850</f>
        <v>382850</v>
      </c>
      <c r="L33" s="119">
        <f>168000+110000+104850</f>
        <v>382850</v>
      </c>
      <c r="N33" s="116"/>
      <c r="O33" s="117" t="s">
        <v>88</v>
      </c>
      <c r="P33" s="118">
        <f>+((1.853*25/100)/3)*1000000</f>
        <v>154416.66666666669</v>
      </c>
      <c r="Q33" s="119">
        <f>197907+173250</f>
        <v>371157</v>
      </c>
      <c r="R33" s="119">
        <f>197907+173250</f>
        <v>371157</v>
      </c>
    </row>
    <row r="34" spans="2:18" ht="15" x14ac:dyDescent="0.25">
      <c r="B34" s="116"/>
      <c r="C34" s="117" t="s">
        <v>89</v>
      </c>
      <c r="D34" s="121">
        <f>+(1.3/12)*1000000</f>
        <v>108333.33333333334</v>
      </c>
      <c r="E34" s="119">
        <v>0</v>
      </c>
      <c r="F34" s="119">
        <v>0</v>
      </c>
      <c r="H34" s="116"/>
      <c r="I34" s="117" t="s">
        <v>89</v>
      </c>
      <c r="J34" s="121">
        <f>+(1.3/12)*1000000</f>
        <v>108333.33333333334</v>
      </c>
      <c r="K34" s="119">
        <v>0</v>
      </c>
      <c r="L34" s="119">
        <v>0</v>
      </c>
      <c r="N34" s="116"/>
      <c r="O34" s="117" t="s">
        <v>89</v>
      </c>
      <c r="P34" s="121">
        <f>+(1.3/12)*1000000</f>
        <v>108333.33333333334</v>
      </c>
      <c r="Q34" s="119">
        <f>31*3850</f>
        <v>119350</v>
      </c>
      <c r="R34" s="119">
        <f>31*3850</f>
        <v>119350</v>
      </c>
    </row>
    <row r="35" spans="2:18" ht="15" x14ac:dyDescent="0.25">
      <c r="B35" s="116">
        <v>44866</v>
      </c>
      <c r="C35" s="117" t="s">
        <v>86</v>
      </c>
      <c r="D35" s="118">
        <f>+((5.4753*25/100)/3)*1000000</f>
        <v>456275</v>
      </c>
      <c r="E35" s="120">
        <f>270000+677500</f>
        <v>947500</v>
      </c>
      <c r="F35" s="120">
        <f>270000+677500</f>
        <v>947500</v>
      </c>
      <c r="H35" s="116">
        <v>45231</v>
      </c>
      <c r="I35" s="117" t="s">
        <v>86</v>
      </c>
      <c r="J35" s="118">
        <f>+((5.4753*25/100)/3)*1000000</f>
        <v>456275</v>
      </c>
      <c r="K35" s="119">
        <f>270000+835000</f>
        <v>1105000</v>
      </c>
      <c r="L35" s="119">
        <f>270000+835000</f>
        <v>1105000</v>
      </c>
    </row>
    <row r="36" spans="2:18" ht="15" x14ac:dyDescent="0.25">
      <c r="B36" s="116"/>
      <c r="C36" s="117" t="s">
        <v>87</v>
      </c>
      <c r="D36" s="118">
        <f>+((0.745*25/100)/3)*1000000</f>
        <v>62083.333333333328</v>
      </c>
      <c r="E36" s="120">
        <v>0</v>
      </c>
      <c r="F36" s="120">
        <v>0</v>
      </c>
      <c r="H36" s="116"/>
      <c r="I36" s="117" t="s">
        <v>87</v>
      </c>
      <c r="J36" s="118">
        <f>+((0.373*25/100)/3)*1000000</f>
        <v>31083.333333333336</v>
      </c>
      <c r="K36" s="119">
        <v>0</v>
      </c>
      <c r="L36" s="119">
        <v>0</v>
      </c>
    </row>
    <row r="37" spans="2:18" ht="15" x14ac:dyDescent="0.25">
      <c r="B37" s="116"/>
      <c r="C37" s="117" t="s">
        <v>88</v>
      </c>
      <c r="D37" s="118">
        <f>+((1.254*25/100)/3)*1000000</f>
        <v>104500</v>
      </c>
      <c r="E37" s="120">
        <v>525500</v>
      </c>
      <c r="F37" s="120">
        <v>525500</v>
      </c>
      <c r="H37" s="116"/>
      <c r="I37" s="117" t="s">
        <v>88</v>
      </c>
      <c r="J37" s="118">
        <f>+((0.627*25/100)/3)*1000000</f>
        <v>52250</v>
      </c>
      <c r="K37" s="119">
        <f>168000+252000+105000</f>
        <v>525000</v>
      </c>
      <c r="L37" s="119">
        <f>168000+252000+105000</f>
        <v>525000</v>
      </c>
    </row>
    <row r="38" spans="2:18" ht="15" x14ac:dyDescent="0.25">
      <c r="B38" s="116"/>
      <c r="C38" s="117" t="s">
        <v>89</v>
      </c>
      <c r="D38" s="121">
        <f>+(1.3/12)*1000000</f>
        <v>108333.33333333334</v>
      </c>
      <c r="E38" s="119">
        <v>0</v>
      </c>
      <c r="F38" s="119">
        <v>0</v>
      </c>
      <c r="H38" s="116"/>
      <c r="I38" s="117" t="s">
        <v>89</v>
      </c>
      <c r="J38" s="121">
        <f>+(1.3/12)*1000000</f>
        <v>108333.33333333334</v>
      </c>
      <c r="K38" s="119">
        <v>0</v>
      </c>
      <c r="L38" s="119">
        <v>0</v>
      </c>
    </row>
    <row r="39" spans="2:18" ht="15" x14ac:dyDescent="0.25">
      <c r="B39" s="116">
        <v>44896</v>
      </c>
      <c r="C39" s="117" t="s">
        <v>86</v>
      </c>
      <c r="D39" s="118">
        <f>+((5.4753*25/100)/3)*1000000</f>
        <v>456275</v>
      </c>
      <c r="E39" s="120">
        <f>279000+596750</f>
        <v>875750</v>
      </c>
      <c r="F39" s="120">
        <f>279000+596750</f>
        <v>875750</v>
      </c>
      <c r="H39" s="116">
        <v>45261</v>
      </c>
      <c r="I39" s="117" t="s">
        <v>86</v>
      </c>
      <c r="J39" s="118">
        <f>+((5.4753*25/100)/3)*1000000</f>
        <v>456275</v>
      </c>
      <c r="K39" s="119">
        <f>279000+835000</f>
        <v>1114000</v>
      </c>
      <c r="L39" s="119">
        <f>279000+835000</f>
        <v>1114000</v>
      </c>
    </row>
    <row r="40" spans="2:18" ht="15" x14ac:dyDescent="0.25">
      <c r="B40" s="116"/>
      <c r="C40" s="117" t="s">
        <v>87</v>
      </c>
      <c r="D40" s="118">
        <f>+((0.745*25/100)/3)*1000000</f>
        <v>62083.333333333328</v>
      </c>
      <c r="E40" s="120">
        <v>0</v>
      </c>
      <c r="F40" s="120">
        <v>0</v>
      </c>
      <c r="H40" s="116"/>
      <c r="I40" s="117" t="s">
        <v>87</v>
      </c>
      <c r="J40" s="118">
        <f>+((0.373*25/100)/3)*1000000</f>
        <v>31083.333333333336</v>
      </c>
      <c r="K40" s="119">
        <v>85030</v>
      </c>
      <c r="L40" s="119">
        <v>85030</v>
      </c>
    </row>
    <row r="41" spans="2:18" ht="15" x14ac:dyDescent="0.25">
      <c r="B41" s="116"/>
      <c r="C41" s="117" t="s">
        <v>88</v>
      </c>
      <c r="D41" s="118">
        <f>+((1.254*25/100)/3)*1000000</f>
        <v>104500</v>
      </c>
      <c r="E41" s="120">
        <v>539750</v>
      </c>
      <c r="F41" s="120">
        <v>539750</v>
      </c>
      <c r="H41" s="116"/>
      <c r="I41" s="117" t="s">
        <v>88</v>
      </c>
      <c r="J41" s="118">
        <f>+((0.627*25/100)/3)*1000000</f>
        <v>52250</v>
      </c>
      <c r="K41" s="119">
        <f>168000+220000+104850</f>
        <v>492850</v>
      </c>
      <c r="L41" s="119">
        <f>168000+220000+104850</f>
        <v>492850</v>
      </c>
    </row>
    <row r="42" spans="2:18" ht="15" x14ac:dyDescent="0.25">
      <c r="B42" s="116"/>
      <c r="C42" s="117" t="s">
        <v>89</v>
      </c>
      <c r="D42" s="121">
        <f>+(1.3/12)*1000000</f>
        <v>108333.33333333334</v>
      </c>
      <c r="E42" s="119">
        <v>0</v>
      </c>
      <c r="F42" s="119">
        <v>0</v>
      </c>
      <c r="H42" s="116"/>
      <c r="I42" s="117" t="s">
        <v>89</v>
      </c>
      <c r="J42" s="121">
        <f>+(1.3/12)*1000000</f>
        <v>108333.33333333334</v>
      </c>
      <c r="K42" s="119">
        <v>0</v>
      </c>
      <c r="L42" s="119">
        <v>0</v>
      </c>
    </row>
    <row r="43" spans="2:18" ht="15" x14ac:dyDescent="0.25">
      <c r="B43" s="116">
        <v>44927</v>
      </c>
      <c r="C43" s="117" t="s">
        <v>86</v>
      </c>
      <c r="D43" s="118">
        <f>+((5.4753*28/100)/3)*1000000</f>
        <v>511028.00000000006</v>
      </c>
      <c r="E43" s="119">
        <f>279000+596750</f>
        <v>875750</v>
      </c>
      <c r="F43" s="119">
        <f>279000+596750</f>
        <v>875750</v>
      </c>
      <c r="H43" s="116">
        <v>45292</v>
      </c>
      <c r="I43" s="117" t="s">
        <v>86</v>
      </c>
      <c r="J43" s="118">
        <f>+((5.4753*28/100)/3)*1000000</f>
        <v>511028.00000000006</v>
      </c>
      <c r="K43" s="119">
        <f>279000+935000</f>
        <v>1214000</v>
      </c>
      <c r="L43" s="119">
        <f>279000+935000</f>
        <v>1214000</v>
      </c>
    </row>
    <row r="44" spans="2:18" ht="15" x14ac:dyDescent="0.25">
      <c r="B44" s="116"/>
      <c r="C44" s="117" t="s">
        <v>87</v>
      </c>
      <c r="D44" s="118">
        <f>+((0.745*28/100)/3)*1000000</f>
        <v>69533.333333333343</v>
      </c>
      <c r="E44" s="119">
        <v>0</v>
      </c>
      <c r="F44" s="119">
        <v>0</v>
      </c>
      <c r="H44" s="116"/>
      <c r="I44" s="117" t="s">
        <v>87</v>
      </c>
      <c r="J44" s="118">
        <f>+((0.373*28/100)/3)*1000000</f>
        <v>34813.333333333328</v>
      </c>
      <c r="K44" s="119">
        <v>0</v>
      </c>
      <c r="L44" s="119">
        <v>0</v>
      </c>
    </row>
    <row r="45" spans="2:18" ht="15" x14ac:dyDescent="0.25">
      <c r="B45" s="116"/>
      <c r="C45" s="117" t="s">
        <v>88</v>
      </c>
      <c r="D45" s="118">
        <f>+((1.254*28/100)/3)*1000000</f>
        <v>117040.00000000001</v>
      </c>
      <c r="E45" s="119">
        <f>140918+328250+117432</f>
        <v>586600</v>
      </c>
      <c r="F45" s="119">
        <f>140918+328250+117432</f>
        <v>586600</v>
      </c>
      <c r="H45" s="116"/>
      <c r="I45" s="117" t="s">
        <v>88</v>
      </c>
      <c r="J45" s="118">
        <f>+((0.627*28/100)/3)*1000000</f>
        <v>58520.000000000007</v>
      </c>
      <c r="K45" s="119">
        <f>188000+282000+118000</f>
        <v>588000</v>
      </c>
      <c r="L45" s="119">
        <f>188000+282000+118000</f>
        <v>588000</v>
      </c>
    </row>
    <row r="46" spans="2:18" ht="15" x14ac:dyDescent="0.25">
      <c r="B46" s="116"/>
      <c r="C46" s="117" t="s">
        <v>89</v>
      </c>
      <c r="D46" s="121">
        <f>+(1.3/12)*1000000</f>
        <v>108333.33333333334</v>
      </c>
      <c r="E46" s="119">
        <v>0</v>
      </c>
      <c r="F46" s="119">
        <v>0</v>
      </c>
      <c r="H46" s="116"/>
      <c r="I46" s="117" t="s">
        <v>89</v>
      </c>
      <c r="J46" s="121">
        <f>+(1.3/12)*1000000</f>
        <v>108333.33333333334</v>
      </c>
      <c r="K46" s="119">
        <v>0</v>
      </c>
      <c r="L46" s="119">
        <v>0</v>
      </c>
    </row>
    <row r="47" spans="2:18" ht="15" x14ac:dyDescent="0.25">
      <c r="B47" s="116">
        <v>44958</v>
      </c>
      <c r="C47" s="117" t="s">
        <v>86</v>
      </c>
      <c r="D47" s="118">
        <f>+((5.4753*28/100)/3)*1000000</f>
        <v>511028.00000000006</v>
      </c>
      <c r="E47" s="119">
        <f>252000+933000</f>
        <v>1185000</v>
      </c>
      <c r="F47" s="119">
        <f>252000+933000</f>
        <v>1185000</v>
      </c>
      <c r="H47" s="116">
        <v>45323</v>
      </c>
      <c r="I47" s="117" t="s">
        <v>86</v>
      </c>
      <c r="J47" s="118">
        <f>+((5.4753*28/100)/3)*1000000</f>
        <v>511028.00000000006</v>
      </c>
      <c r="K47" s="119">
        <f>261000+935000</f>
        <v>1196000</v>
      </c>
      <c r="L47" s="119">
        <f>261000+935000</f>
        <v>1196000</v>
      </c>
    </row>
    <row r="48" spans="2:18" ht="15" x14ac:dyDescent="0.25">
      <c r="B48" s="116"/>
      <c r="C48" s="117" t="s">
        <v>87</v>
      </c>
      <c r="D48" s="118">
        <f>+((0.745*28/100)/3)*1000000</f>
        <v>69533.333333333343</v>
      </c>
      <c r="E48" s="119">
        <v>0</v>
      </c>
      <c r="F48" s="119">
        <v>0</v>
      </c>
      <c r="H48" s="116"/>
      <c r="I48" s="117" t="s">
        <v>87</v>
      </c>
      <c r="J48" s="118">
        <f>+((0.373*28/100)/3)*1000000</f>
        <v>34813.333333333328</v>
      </c>
      <c r="K48" s="119">
        <v>85030</v>
      </c>
      <c r="L48" s="119">
        <v>85030</v>
      </c>
    </row>
    <row r="49" spans="2:12" ht="15" x14ac:dyDescent="0.25">
      <c r="B49" s="116"/>
      <c r="C49" s="117" t="s">
        <v>88</v>
      </c>
      <c r="D49" s="118">
        <f>+((1.254*28/100)/3)*1000000</f>
        <v>117040.00000000001</v>
      </c>
      <c r="E49" s="119">
        <f>140918+328250+117432</f>
        <v>586600</v>
      </c>
      <c r="F49" s="119">
        <f>140918+328250+117432</f>
        <v>586600</v>
      </c>
      <c r="H49" s="116"/>
      <c r="I49" s="117" t="s">
        <v>88</v>
      </c>
      <c r="J49" s="118">
        <f>+((0.627*28/100)/3)*1000000</f>
        <v>58520.000000000007</v>
      </c>
      <c r="K49" s="119">
        <f>127000+296000+105728</f>
        <v>528728</v>
      </c>
      <c r="L49" s="119">
        <f>127000+296000+105728</f>
        <v>528728</v>
      </c>
    </row>
    <row r="50" spans="2:12" ht="15" x14ac:dyDescent="0.25">
      <c r="B50" s="116"/>
      <c r="C50" s="117" t="s">
        <v>89</v>
      </c>
      <c r="D50" s="121">
        <f>+(1.3/12)*1000000</f>
        <v>108333.33333333334</v>
      </c>
      <c r="E50" s="119">
        <v>0</v>
      </c>
      <c r="F50" s="119">
        <v>0</v>
      </c>
      <c r="H50" s="116"/>
      <c r="I50" s="117" t="s">
        <v>89</v>
      </c>
      <c r="J50" s="121">
        <f>+(1.3/12)*1000000</f>
        <v>108333.33333333334</v>
      </c>
      <c r="K50" s="119">
        <v>0</v>
      </c>
      <c r="L50" s="119">
        <v>0</v>
      </c>
    </row>
    <row r="51" spans="2:12" ht="15" x14ac:dyDescent="0.25">
      <c r="B51" s="116">
        <v>44986</v>
      </c>
      <c r="C51" s="117" t="s">
        <v>86</v>
      </c>
      <c r="D51" s="118">
        <f>+((5.4753*28/100)/3)*1000000</f>
        <v>511028.00000000006</v>
      </c>
      <c r="E51" s="120">
        <f>279000+933000</f>
        <v>1212000</v>
      </c>
      <c r="F51" s="120">
        <f>279000+933000</f>
        <v>1212000</v>
      </c>
      <c r="H51" s="116">
        <v>45352</v>
      </c>
      <c r="I51" s="117" t="s">
        <v>86</v>
      </c>
      <c r="J51" s="118">
        <f>+((5.4753*28/100)/3)*1000000</f>
        <v>511028.00000000006</v>
      </c>
      <c r="K51" s="119">
        <f>279000+935000</f>
        <v>1214000</v>
      </c>
      <c r="L51" s="119">
        <f>279000+935000</f>
        <v>1214000</v>
      </c>
    </row>
    <row r="52" spans="2:12" ht="15" x14ac:dyDescent="0.25">
      <c r="B52" s="116"/>
      <c r="C52" s="117" t="s">
        <v>87</v>
      </c>
      <c r="D52" s="118">
        <f>+((0.745*28/100)/3)*1000000</f>
        <v>69533.333333333343</v>
      </c>
      <c r="E52" s="120">
        <v>0</v>
      </c>
      <c r="F52" s="120">
        <v>0</v>
      </c>
      <c r="H52" s="116"/>
      <c r="I52" s="117" t="s">
        <v>87</v>
      </c>
      <c r="J52" s="118">
        <f>+((0.373*28/100)/3)*1000000</f>
        <v>34813.333333333328</v>
      </c>
      <c r="K52" s="119">
        <v>31000</v>
      </c>
      <c r="L52" s="119">
        <v>31000</v>
      </c>
    </row>
    <row r="53" spans="2:12" ht="15" x14ac:dyDescent="0.25">
      <c r="B53" s="116"/>
      <c r="C53" s="117" t="s">
        <v>88</v>
      </c>
      <c r="D53" s="118">
        <f>+((1.254*28/100)/3)*1000000</f>
        <v>117040.00000000001</v>
      </c>
      <c r="E53" s="120">
        <f>188000+140000+139650</f>
        <v>467650</v>
      </c>
      <c r="F53" s="120">
        <f>188000+140000+139650</f>
        <v>467650</v>
      </c>
      <c r="H53" s="116"/>
      <c r="I53" s="117" t="s">
        <v>88</v>
      </c>
      <c r="J53" s="118">
        <f>+((0.627*28/100)/3)*1000000</f>
        <v>58520.000000000007</v>
      </c>
      <c r="K53" s="119">
        <f>188000+282000+118000</f>
        <v>588000</v>
      </c>
      <c r="L53" s="119">
        <f>188000+282000+118000</f>
        <v>588000</v>
      </c>
    </row>
    <row r="54" spans="2:12" ht="15" x14ac:dyDescent="0.25">
      <c r="B54" s="116"/>
      <c r="C54" s="117" t="s">
        <v>89</v>
      </c>
      <c r="D54" s="121">
        <f>+(1.3/12)*1000000</f>
        <v>108333.33333333334</v>
      </c>
      <c r="E54" s="119">
        <f>31*3850</f>
        <v>119350</v>
      </c>
      <c r="F54" s="119">
        <f>31*3850</f>
        <v>119350</v>
      </c>
      <c r="H54" s="116"/>
      <c r="I54" s="117" t="s">
        <v>89</v>
      </c>
      <c r="J54" s="121">
        <f>+(1.3/12)*1000000</f>
        <v>108333.33333333334</v>
      </c>
      <c r="K54" s="119">
        <f>15*3850</f>
        <v>57750</v>
      </c>
      <c r="L54" s="119">
        <f>15*3850</f>
        <v>57750</v>
      </c>
    </row>
    <row r="58" spans="2:12" x14ac:dyDescent="0.25">
      <c r="H58" s="122"/>
    </row>
    <row r="62" spans="2:12" x14ac:dyDescent="0.25">
      <c r="H62" s="122"/>
    </row>
    <row r="66" spans="10:10" x14ac:dyDescent="0.25">
      <c r="J66" s="122"/>
    </row>
  </sheetData>
  <mergeCells count="37">
    <mergeCell ref="B43:B46"/>
    <mergeCell ref="H43:H46"/>
    <mergeCell ref="B47:B50"/>
    <mergeCell ref="H47:H50"/>
    <mergeCell ref="B51:B54"/>
    <mergeCell ref="H51:H54"/>
    <mergeCell ref="B31:B34"/>
    <mergeCell ref="H31:H34"/>
    <mergeCell ref="N31:N34"/>
    <mergeCell ref="B35:B38"/>
    <mergeCell ref="H35:H38"/>
    <mergeCell ref="B39:B42"/>
    <mergeCell ref="H39:H42"/>
    <mergeCell ref="B23:B26"/>
    <mergeCell ref="H23:H26"/>
    <mergeCell ref="N23:N26"/>
    <mergeCell ref="B27:B30"/>
    <mergeCell ref="H27:H30"/>
    <mergeCell ref="N27:N30"/>
    <mergeCell ref="B15:B18"/>
    <mergeCell ref="H15:H18"/>
    <mergeCell ref="N15:N18"/>
    <mergeCell ref="B19:B22"/>
    <mergeCell ref="H19:H22"/>
    <mergeCell ref="N19:N22"/>
    <mergeCell ref="B7:B10"/>
    <mergeCell ref="H7:H10"/>
    <mergeCell ref="N7:N10"/>
    <mergeCell ref="B11:B14"/>
    <mergeCell ref="H11:H14"/>
    <mergeCell ref="N11:N14"/>
    <mergeCell ref="B5:B6"/>
    <mergeCell ref="C5:C6"/>
    <mergeCell ref="H5:H6"/>
    <mergeCell ref="I5:I6"/>
    <mergeCell ref="N5:N6"/>
    <mergeCell ref="O5: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ED46E-1BC4-4565-BB3E-7373F1D2F2B2}">
  <dimension ref="B1:N447"/>
  <sheetViews>
    <sheetView tabSelected="1" workbookViewId="0">
      <selection activeCell="H4" sqref="H4"/>
    </sheetView>
  </sheetViews>
  <sheetFormatPr defaultRowHeight="14.4" x14ac:dyDescent="0.3"/>
  <cols>
    <col min="3" max="3" width="22" customWidth="1"/>
    <col min="4" max="7" width="14.6640625" customWidth="1"/>
    <col min="8" max="10" width="14.6640625" style="2" customWidth="1"/>
    <col min="11" max="11" width="28.88671875" style="2" customWidth="1"/>
    <col min="13" max="13" width="24.6640625" customWidth="1"/>
  </cols>
  <sheetData>
    <row r="1" spans="2:11" x14ac:dyDescent="0.3">
      <c r="E1" s="1"/>
    </row>
    <row r="2" spans="2:11" ht="21" x14ac:dyDescent="0.4">
      <c r="B2" s="3" t="s">
        <v>0</v>
      </c>
      <c r="E2" s="1"/>
    </row>
    <row r="4" spans="2:11" s="9" customFormat="1" ht="72.599999999999994" thickBot="1" x14ac:dyDescent="0.35">
      <c r="B4" s="4" t="s">
        <v>1</v>
      </c>
      <c r="C4" s="4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  <c r="I4" s="6" t="s">
        <v>8</v>
      </c>
      <c r="J4" s="7" t="s">
        <v>9</v>
      </c>
      <c r="K4" s="8"/>
    </row>
    <row r="5" spans="2:11" ht="15" thickBot="1" x14ac:dyDescent="0.35">
      <c r="B5" s="10"/>
      <c r="C5" s="10"/>
      <c r="D5" s="11" t="s">
        <v>10</v>
      </c>
      <c r="E5" s="11" t="s">
        <v>10</v>
      </c>
      <c r="F5" s="11" t="s">
        <v>10</v>
      </c>
      <c r="G5" s="11" t="s">
        <v>10</v>
      </c>
      <c r="H5" s="12" t="s">
        <v>10</v>
      </c>
      <c r="I5" s="12" t="s">
        <v>10</v>
      </c>
      <c r="J5" s="12" t="s">
        <v>11</v>
      </c>
      <c r="K5" s="12" t="s">
        <v>10</v>
      </c>
    </row>
    <row r="6" spans="2:11" s="17" customFormat="1" ht="15" thickBot="1" x14ac:dyDescent="0.35">
      <c r="B6" s="13">
        <v>44652</v>
      </c>
      <c r="C6" s="14" t="s">
        <v>12</v>
      </c>
      <c r="D6" s="15"/>
      <c r="E6" s="15"/>
      <c r="F6" s="15"/>
      <c r="G6" s="15"/>
      <c r="H6" s="16">
        <v>0</v>
      </c>
      <c r="I6" s="16">
        <v>0</v>
      </c>
      <c r="J6" s="14"/>
      <c r="K6" s="14"/>
    </row>
    <row r="7" spans="2:11" s="17" customFormat="1" ht="15" thickBot="1" x14ac:dyDescent="0.35">
      <c r="B7" s="18"/>
      <c r="C7" s="14" t="s">
        <v>13</v>
      </c>
      <c r="D7" s="15"/>
      <c r="E7" s="15"/>
      <c r="F7" s="15"/>
      <c r="G7" s="15"/>
      <c r="H7" s="14">
        <v>19899.080000000002</v>
      </c>
      <c r="I7" s="16">
        <v>0</v>
      </c>
      <c r="J7" s="14"/>
      <c r="K7" s="14">
        <v>0</v>
      </c>
    </row>
    <row r="8" spans="2:11" s="17" customFormat="1" ht="15" thickBot="1" x14ac:dyDescent="0.35">
      <c r="B8" s="18"/>
      <c r="C8" s="14" t="s">
        <v>14</v>
      </c>
      <c r="D8" s="15"/>
      <c r="E8" s="15">
        <v>57750</v>
      </c>
      <c r="F8" s="15"/>
      <c r="G8" s="15"/>
      <c r="H8" s="16">
        <v>27943.7</v>
      </c>
      <c r="I8" s="14">
        <v>49605.43</v>
      </c>
      <c r="J8" s="14" t="s">
        <v>15</v>
      </c>
      <c r="K8" s="14">
        <v>49605.43</v>
      </c>
    </row>
    <row r="9" spans="2:11" s="17" customFormat="1" ht="15" thickBot="1" x14ac:dyDescent="0.35">
      <c r="B9" s="18"/>
      <c r="C9" s="14" t="s">
        <v>16</v>
      </c>
      <c r="D9" s="15"/>
      <c r="E9" s="15"/>
      <c r="F9" s="15"/>
      <c r="G9" s="15"/>
      <c r="H9" s="16">
        <v>0</v>
      </c>
      <c r="I9" s="16">
        <v>0</v>
      </c>
      <c r="J9" s="14"/>
      <c r="K9" s="14"/>
    </row>
    <row r="10" spans="2:11" s="23" customFormat="1" ht="15" thickBot="1" x14ac:dyDescent="0.35">
      <c r="B10" s="18"/>
      <c r="C10" s="19" t="s">
        <v>17</v>
      </c>
      <c r="D10" s="20"/>
      <c r="E10" s="20">
        <v>462000</v>
      </c>
      <c r="F10" s="20">
        <v>457000</v>
      </c>
      <c r="G10" s="20"/>
      <c r="H10" s="21">
        <v>352005.45</v>
      </c>
      <c r="I10" s="22">
        <v>0</v>
      </c>
      <c r="J10" s="19"/>
      <c r="K10" s="19"/>
    </row>
    <row r="11" spans="2:11" s="23" customFormat="1" ht="15" thickBot="1" x14ac:dyDescent="0.35">
      <c r="B11" s="18"/>
      <c r="C11" s="19" t="s">
        <v>18</v>
      </c>
      <c r="D11" s="20"/>
      <c r="E11" s="20"/>
      <c r="F11" s="20"/>
      <c r="G11" s="20"/>
      <c r="H11" s="21">
        <v>7744.85</v>
      </c>
      <c r="I11" s="22">
        <v>0</v>
      </c>
      <c r="J11" s="19"/>
      <c r="K11" s="19"/>
    </row>
    <row r="12" spans="2:11" s="23" customFormat="1" ht="15" thickBot="1" x14ac:dyDescent="0.35">
      <c r="B12" s="18"/>
      <c r="C12" s="19" t="s">
        <v>19</v>
      </c>
      <c r="D12" s="20"/>
      <c r="E12" s="20">
        <v>346500</v>
      </c>
      <c r="F12" s="20">
        <v>511500</v>
      </c>
      <c r="G12" s="20"/>
      <c r="H12" s="24">
        <v>296908.48</v>
      </c>
      <c r="I12" s="25">
        <v>16377.77</v>
      </c>
      <c r="J12" s="26" t="s">
        <v>20</v>
      </c>
      <c r="K12" s="27">
        <v>16377.77</v>
      </c>
    </row>
    <row r="13" spans="2:11" ht="15" thickBot="1" x14ac:dyDescent="0.35">
      <c r="B13" s="18"/>
      <c r="C13" s="28" t="s">
        <v>21</v>
      </c>
      <c r="D13" s="29"/>
      <c r="E13" s="29"/>
      <c r="F13" s="29"/>
      <c r="G13" s="29"/>
      <c r="H13" s="30">
        <v>0</v>
      </c>
      <c r="I13" s="30">
        <v>0</v>
      </c>
      <c r="J13" s="28"/>
      <c r="K13" s="28"/>
    </row>
    <row r="14" spans="2:11" s="17" customFormat="1" ht="15" thickBot="1" x14ac:dyDescent="0.35">
      <c r="B14" s="18"/>
      <c r="C14" s="14" t="s">
        <v>22</v>
      </c>
      <c r="D14" s="15"/>
      <c r="E14" s="15">
        <v>150000</v>
      </c>
      <c r="F14" s="15">
        <v>120000</v>
      </c>
      <c r="G14" s="15"/>
      <c r="H14" s="16">
        <v>42313.08</v>
      </c>
      <c r="I14" s="16">
        <v>0</v>
      </c>
      <c r="J14" s="14"/>
      <c r="K14" s="14"/>
    </row>
    <row r="15" spans="2:11" s="23" customFormat="1" ht="15" thickBot="1" x14ac:dyDescent="0.35">
      <c r="B15" s="18"/>
      <c r="C15" s="19" t="s">
        <v>23</v>
      </c>
      <c r="D15" s="20"/>
      <c r="E15" s="20">
        <v>90000</v>
      </c>
      <c r="F15" s="20">
        <v>172000</v>
      </c>
      <c r="G15" s="20"/>
      <c r="H15" s="21">
        <v>64109.05</v>
      </c>
      <c r="I15" s="22">
        <v>0</v>
      </c>
      <c r="J15" s="19"/>
      <c r="K15" s="19"/>
    </row>
    <row r="16" spans="2:11" s="17" customFormat="1" ht="29.4" thickBot="1" x14ac:dyDescent="0.35">
      <c r="B16" s="18"/>
      <c r="C16" s="14" t="s">
        <v>24</v>
      </c>
      <c r="D16" s="15"/>
      <c r="E16" s="15"/>
      <c r="F16" s="15"/>
      <c r="G16" s="15"/>
      <c r="H16" s="16">
        <v>0</v>
      </c>
      <c r="I16" s="16">
        <v>0</v>
      </c>
      <c r="J16" s="14"/>
      <c r="K16" s="14"/>
    </row>
    <row r="17" spans="2:11" s="34" customFormat="1" ht="15" thickBot="1" x14ac:dyDescent="0.35">
      <c r="B17" s="18"/>
      <c r="C17" s="31" t="s">
        <v>25</v>
      </c>
      <c r="D17" s="32"/>
      <c r="E17" s="32">
        <v>53900</v>
      </c>
      <c r="F17" s="32"/>
      <c r="G17" s="32"/>
      <c r="H17" s="33">
        <v>0</v>
      </c>
      <c r="I17" s="33">
        <v>0</v>
      </c>
      <c r="J17" s="31"/>
      <c r="K17" s="31"/>
    </row>
    <row r="18" spans="2:11" s="39" customFormat="1" ht="15" thickBot="1" x14ac:dyDescent="0.35">
      <c r="B18" s="35"/>
      <c r="C18" s="36" t="s">
        <v>26</v>
      </c>
      <c r="D18" s="37"/>
      <c r="E18" s="37">
        <f>SUM(E6:E17)</f>
        <v>1160150</v>
      </c>
      <c r="F18" s="37">
        <f>SUM(F6:F17)</f>
        <v>1260500</v>
      </c>
      <c r="G18" s="37"/>
      <c r="H18" s="38">
        <f>H6+H7+H8+H9+H10+H11+H12+H13+H14+H15+H16+H17</f>
        <v>810923.69</v>
      </c>
      <c r="I18" s="38">
        <f>I6+I7+I8+I9+I10+I11+I12+I13+I14+I15+I16+I17</f>
        <v>65983.199999999997</v>
      </c>
      <c r="J18" s="36"/>
      <c r="K18" s="38">
        <f>K6+K7+K8+K9+K10+K11+K12+K13+K14+K15+K16+K17</f>
        <v>65983.199999999997</v>
      </c>
    </row>
    <row r="19" spans="2:11" s="17" customFormat="1" ht="15" thickBot="1" x14ac:dyDescent="0.35">
      <c r="B19" s="13">
        <v>44682</v>
      </c>
      <c r="C19" s="14" t="s">
        <v>12</v>
      </c>
      <c r="D19" s="15"/>
      <c r="E19" s="15"/>
      <c r="F19" s="15">
        <v>117800</v>
      </c>
      <c r="G19" s="15"/>
      <c r="H19" s="16">
        <v>0</v>
      </c>
      <c r="I19" s="16">
        <v>0</v>
      </c>
      <c r="J19" s="14"/>
      <c r="K19" s="14"/>
    </row>
    <row r="20" spans="2:11" s="17" customFormat="1" ht="15" thickBot="1" x14ac:dyDescent="0.35">
      <c r="B20" s="18"/>
      <c r="C20" s="14" t="s">
        <v>13</v>
      </c>
      <c r="D20" s="15"/>
      <c r="E20" s="15"/>
      <c r="F20" s="15"/>
      <c r="G20" s="15"/>
      <c r="H20" s="16">
        <v>38576.589999999997</v>
      </c>
      <c r="I20" s="16">
        <v>0</v>
      </c>
      <c r="J20" s="14"/>
      <c r="K20" s="14"/>
    </row>
    <row r="21" spans="2:11" s="17" customFormat="1" ht="15" thickBot="1" x14ac:dyDescent="0.35">
      <c r="B21" s="18"/>
      <c r="C21" s="14" t="s">
        <v>14</v>
      </c>
      <c r="D21" s="15"/>
      <c r="E21" s="15">
        <v>119350</v>
      </c>
      <c r="F21" s="15">
        <v>150000</v>
      </c>
      <c r="G21" s="15"/>
      <c r="H21" s="16">
        <v>66308.47</v>
      </c>
      <c r="I21" s="14">
        <v>15691.2</v>
      </c>
      <c r="J21" s="14" t="s">
        <v>27</v>
      </c>
      <c r="K21" s="14" t="s">
        <v>28</v>
      </c>
    </row>
    <row r="22" spans="2:11" s="17" customFormat="1" ht="15" thickBot="1" x14ac:dyDescent="0.35">
      <c r="B22" s="18"/>
      <c r="C22" s="14" t="s">
        <v>16</v>
      </c>
      <c r="D22" s="15"/>
      <c r="E22" s="15"/>
      <c r="F22" s="15"/>
      <c r="G22" s="15"/>
      <c r="H22" s="16">
        <v>0</v>
      </c>
      <c r="I22" s="16">
        <v>0</v>
      </c>
      <c r="J22" s="14"/>
      <c r="K22" s="14"/>
    </row>
    <row r="23" spans="2:11" s="23" customFormat="1" ht="15" thickBot="1" x14ac:dyDescent="0.35">
      <c r="B23" s="18"/>
      <c r="C23" s="19" t="s">
        <v>17</v>
      </c>
      <c r="D23" s="20"/>
      <c r="E23" s="20">
        <v>358050</v>
      </c>
      <c r="F23" s="20">
        <v>405250</v>
      </c>
      <c r="G23" s="20"/>
      <c r="H23" s="21">
        <v>376399.27</v>
      </c>
      <c r="I23" s="25">
        <v>38477.4</v>
      </c>
      <c r="J23" s="26" t="s">
        <v>29</v>
      </c>
      <c r="K23" s="27">
        <v>38477.4</v>
      </c>
    </row>
    <row r="24" spans="2:11" s="23" customFormat="1" ht="15" thickBot="1" x14ac:dyDescent="0.35">
      <c r="B24" s="18"/>
      <c r="C24" s="19" t="s">
        <v>18</v>
      </c>
      <c r="D24" s="20"/>
      <c r="E24" s="20"/>
      <c r="F24" s="20"/>
      <c r="G24" s="20"/>
      <c r="H24" s="21">
        <v>11626.45</v>
      </c>
      <c r="I24" s="22">
        <v>0</v>
      </c>
      <c r="J24" s="19"/>
      <c r="K24" s="19"/>
    </row>
    <row r="25" spans="2:11" s="23" customFormat="1" ht="15" thickBot="1" x14ac:dyDescent="0.35">
      <c r="B25" s="18"/>
      <c r="C25" s="19" t="s">
        <v>19</v>
      </c>
      <c r="D25" s="20"/>
      <c r="E25" s="20">
        <v>596750</v>
      </c>
      <c r="F25" s="20">
        <v>301000</v>
      </c>
      <c r="G25" s="20"/>
      <c r="H25" s="40">
        <v>359916.89</v>
      </c>
      <c r="I25" s="25">
        <v>12454.48</v>
      </c>
      <c r="J25" s="26" t="s">
        <v>20</v>
      </c>
      <c r="K25" s="27">
        <v>12454.48</v>
      </c>
    </row>
    <row r="26" spans="2:11" ht="15" thickBot="1" x14ac:dyDescent="0.35">
      <c r="B26" s="18"/>
      <c r="C26" s="28" t="s">
        <v>21</v>
      </c>
      <c r="D26" s="29"/>
      <c r="E26" s="29"/>
      <c r="F26" s="29"/>
      <c r="G26" s="41"/>
      <c r="H26" s="42">
        <v>0</v>
      </c>
      <c r="I26" s="30">
        <v>0</v>
      </c>
      <c r="J26" s="28"/>
      <c r="K26" s="28"/>
    </row>
    <row r="27" spans="2:11" s="17" customFormat="1" ht="15" thickBot="1" x14ac:dyDescent="0.35">
      <c r="B27" s="18"/>
      <c r="C27" s="14" t="s">
        <v>22</v>
      </c>
      <c r="D27" s="15"/>
      <c r="E27" s="15">
        <v>93000</v>
      </c>
      <c r="F27" s="15">
        <v>120000</v>
      </c>
      <c r="G27" s="15"/>
      <c r="H27" s="16">
        <v>39918.15</v>
      </c>
      <c r="I27" s="16">
        <v>0</v>
      </c>
      <c r="J27" s="14"/>
      <c r="K27" s="14"/>
    </row>
    <row r="28" spans="2:11" s="23" customFormat="1" ht="15" thickBot="1" x14ac:dyDescent="0.35">
      <c r="B28" s="18"/>
      <c r="C28" s="19" t="s">
        <v>23</v>
      </c>
      <c r="D28" s="20"/>
      <c r="E28" s="20">
        <v>119350</v>
      </c>
      <c r="F28" s="20">
        <v>169700</v>
      </c>
      <c r="G28" s="20"/>
      <c r="H28" s="21">
        <v>116376.74</v>
      </c>
      <c r="I28" s="22">
        <v>0</v>
      </c>
      <c r="J28" s="19"/>
      <c r="K28" s="19"/>
    </row>
    <row r="29" spans="2:11" s="17" customFormat="1" ht="29.4" thickBot="1" x14ac:dyDescent="0.35">
      <c r="B29" s="18"/>
      <c r="C29" s="14" t="s">
        <v>24</v>
      </c>
      <c r="D29" s="15"/>
      <c r="E29" s="15"/>
      <c r="F29" s="15"/>
      <c r="G29" s="15"/>
      <c r="H29" s="16">
        <v>0</v>
      </c>
      <c r="I29" s="16">
        <v>0</v>
      </c>
      <c r="J29" s="14"/>
      <c r="K29" s="14"/>
    </row>
    <row r="30" spans="2:11" s="34" customFormat="1" ht="15" thickBot="1" x14ac:dyDescent="0.35">
      <c r="B30" s="18"/>
      <c r="C30" s="31" t="s">
        <v>25</v>
      </c>
      <c r="D30" s="32"/>
      <c r="E30" s="32"/>
      <c r="F30" s="32"/>
      <c r="G30" s="32"/>
      <c r="H30" s="33">
        <v>0</v>
      </c>
      <c r="I30" s="33">
        <v>0</v>
      </c>
      <c r="J30" s="31"/>
      <c r="K30" s="31"/>
    </row>
    <row r="31" spans="2:11" s="39" customFormat="1" ht="15" thickBot="1" x14ac:dyDescent="0.35">
      <c r="B31" s="35"/>
      <c r="C31" s="36" t="s">
        <v>26</v>
      </c>
      <c r="D31" s="37"/>
      <c r="E31" s="37">
        <f>SUM(E19:E30)</f>
        <v>1286500</v>
      </c>
      <c r="F31" s="37">
        <f>SUM(F19:F30)</f>
        <v>1263750</v>
      </c>
      <c r="G31" s="37"/>
      <c r="H31" s="38">
        <f>H19+H20+H21+H22+H23+H24+H25+H26+H27+H28+H29+H30</f>
        <v>1009122.56</v>
      </c>
      <c r="I31" s="36">
        <f>I19+I20+I21+I22+I23+I24+I25+I26+I27+I28+I29+I30</f>
        <v>66623.08</v>
      </c>
      <c r="J31" s="43"/>
      <c r="K31" s="43"/>
    </row>
    <row r="32" spans="2:11" s="17" customFormat="1" ht="15" thickBot="1" x14ac:dyDescent="0.35">
      <c r="B32" s="13">
        <v>44713</v>
      </c>
      <c r="C32" s="14" t="s">
        <v>12</v>
      </c>
      <c r="D32" s="15"/>
      <c r="E32" s="15"/>
      <c r="F32" s="15"/>
      <c r="G32" s="15"/>
      <c r="H32" s="16">
        <v>0</v>
      </c>
      <c r="I32" s="16">
        <v>0</v>
      </c>
      <c r="J32" s="14"/>
      <c r="K32" s="14"/>
    </row>
    <row r="33" spans="2:11" s="17" customFormat="1" ht="15" thickBot="1" x14ac:dyDescent="0.35">
      <c r="B33" s="18"/>
      <c r="C33" s="14" t="s">
        <v>13</v>
      </c>
      <c r="D33" s="15"/>
      <c r="E33" s="15"/>
      <c r="F33" s="15"/>
      <c r="G33" s="15"/>
      <c r="H33" s="16">
        <v>11274.12</v>
      </c>
      <c r="I33" s="16">
        <v>0</v>
      </c>
      <c r="J33" s="14"/>
      <c r="K33" s="44"/>
    </row>
    <row r="34" spans="2:11" s="17" customFormat="1" ht="15" thickBot="1" x14ac:dyDescent="0.35">
      <c r="B34" s="18"/>
      <c r="C34" s="14" t="s">
        <v>14</v>
      </c>
      <c r="D34" s="15"/>
      <c r="E34" s="45">
        <f>+(1*30)*3850</f>
        <v>115500</v>
      </c>
      <c r="F34" s="15">
        <v>75000</v>
      </c>
      <c r="G34" s="15"/>
      <c r="H34" s="16">
        <v>43449.49</v>
      </c>
      <c r="I34" s="14">
        <v>27384.77</v>
      </c>
      <c r="J34" s="46" t="s">
        <v>27</v>
      </c>
      <c r="K34" s="47" t="s">
        <v>30</v>
      </c>
    </row>
    <row r="35" spans="2:11" s="17" customFormat="1" ht="15" thickBot="1" x14ac:dyDescent="0.35">
      <c r="B35" s="18"/>
      <c r="C35" s="14" t="s">
        <v>16</v>
      </c>
      <c r="D35" s="15"/>
      <c r="E35" s="15"/>
      <c r="F35" s="15"/>
      <c r="G35" s="15"/>
      <c r="H35" s="16">
        <v>0</v>
      </c>
      <c r="I35" s="16">
        <v>0</v>
      </c>
      <c r="J35" s="14"/>
      <c r="K35" s="14"/>
    </row>
    <row r="36" spans="2:11" s="23" customFormat="1" ht="15" thickBot="1" x14ac:dyDescent="0.35">
      <c r="B36" s="18"/>
      <c r="C36" s="19" t="s">
        <v>17</v>
      </c>
      <c r="D36" s="20"/>
      <c r="E36" s="48">
        <f>+(3*30)*3850</f>
        <v>346500</v>
      </c>
      <c r="F36" s="20">
        <v>319000</v>
      </c>
      <c r="G36" s="20"/>
      <c r="H36" s="49">
        <v>297578.69</v>
      </c>
      <c r="I36" s="50">
        <v>41128.449999999997</v>
      </c>
      <c r="J36" s="51" t="s">
        <v>29</v>
      </c>
      <c r="K36" s="50">
        <v>41128.449999999997</v>
      </c>
    </row>
    <row r="37" spans="2:11" s="23" customFormat="1" ht="15" thickBot="1" x14ac:dyDescent="0.35">
      <c r="B37" s="18"/>
      <c r="C37" s="19" t="s">
        <v>18</v>
      </c>
      <c r="D37" s="20"/>
      <c r="E37" s="20"/>
      <c r="F37" s="20"/>
      <c r="G37" s="20"/>
      <c r="H37" s="49">
        <v>35231.760000000002</v>
      </c>
      <c r="I37" s="30">
        <v>0</v>
      </c>
      <c r="J37" s="51" t="s">
        <v>31</v>
      </c>
      <c r="K37" s="50" t="s">
        <v>31</v>
      </c>
    </row>
    <row r="38" spans="2:11" s="23" customFormat="1" ht="15" thickBot="1" x14ac:dyDescent="0.35">
      <c r="B38" s="18"/>
      <c r="C38" s="19" t="s">
        <v>19</v>
      </c>
      <c r="D38" s="20"/>
      <c r="E38" s="48">
        <f>(5*3850)*30</f>
        <v>577500</v>
      </c>
      <c r="F38" s="20">
        <v>179000</v>
      </c>
      <c r="G38" s="20"/>
      <c r="H38" s="52">
        <v>308928.44</v>
      </c>
      <c r="I38" s="53">
        <v>27754.07</v>
      </c>
      <c r="J38" s="54" t="s">
        <v>32</v>
      </c>
      <c r="K38" s="55" t="s">
        <v>33</v>
      </c>
    </row>
    <row r="39" spans="2:11" ht="15" thickBot="1" x14ac:dyDescent="0.35">
      <c r="B39" s="18"/>
      <c r="C39" s="56" t="s">
        <v>21</v>
      </c>
      <c r="D39" s="57"/>
      <c r="E39" s="57"/>
      <c r="F39" s="57"/>
      <c r="G39" s="57"/>
      <c r="H39" s="58">
        <v>0</v>
      </c>
      <c r="I39" s="58">
        <v>0</v>
      </c>
      <c r="J39" s="59"/>
      <c r="K39" s="59"/>
    </row>
    <row r="40" spans="2:11" s="17" customFormat="1" ht="15" thickBot="1" x14ac:dyDescent="0.35">
      <c r="B40" s="18"/>
      <c r="C40" s="14" t="s">
        <v>22</v>
      </c>
      <c r="D40" s="15"/>
      <c r="E40" s="15">
        <v>75000</v>
      </c>
      <c r="F40" s="15">
        <v>120000</v>
      </c>
      <c r="G40" s="15"/>
      <c r="H40" s="16">
        <v>49783.42</v>
      </c>
      <c r="I40" s="16">
        <v>0</v>
      </c>
      <c r="J40" s="14"/>
      <c r="K40" s="14"/>
    </row>
    <row r="41" spans="2:11" s="23" customFormat="1" ht="15" thickBot="1" x14ac:dyDescent="0.35">
      <c r="B41" s="18"/>
      <c r="C41" s="19" t="s">
        <v>23</v>
      </c>
      <c r="D41" s="20"/>
      <c r="E41" s="48">
        <f>2500*30</f>
        <v>75000</v>
      </c>
      <c r="F41" s="20">
        <v>139500</v>
      </c>
      <c r="G41" s="20"/>
      <c r="H41" s="49">
        <v>79731.22</v>
      </c>
      <c r="I41" s="22">
        <v>0</v>
      </c>
      <c r="J41" s="19"/>
      <c r="K41" s="19"/>
    </row>
    <row r="42" spans="2:11" s="17" customFormat="1" ht="29.4" thickBot="1" x14ac:dyDescent="0.35">
      <c r="B42" s="18"/>
      <c r="C42" s="14" t="s">
        <v>24</v>
      </c>
      <c r="D42" s="15"/>
      <c r="E42" s="15"/>
      <c r="F42" s="15"/>
      <c r="G42" s="15"/>
      <c r="H42" s="16">
        <v>0</v>
      </c>
      <c r="I42" s="16">
        <v>0</v>
      </c>
      <c r="J42" s="14"/>
      <c r="K42" s="14"/>
    </row>
    <row r="43" spans="2:11" s="34" customFormat="1" ht="15" thickBot="1" x14ac:dyDescent="0.35">
      <c r="B43" s="18"/>
      <c r="C43" s="31" t="s">
        <v>25</v>
      </c>
      <c r="D43" s="32"/>
      <c r="E43" s="32"/>
      <c r="F43" s="32">
        <v>65000</v>
      </c>
      <c r="G43" s="32"/>
      <c r="H43" s="33">
        <v>11293.44</v>
      </c>
      <c r="I43" s="33">
        <v>0</v>
      </c>
      <c r="J43" s="31"/>
      <c r="K43" s="31"/>
    </row>
    <row r="44" spans="2:11" ht="15" thickBot="1" x14ac:dyDescent="0.35">
      <c r="B44" s="35"/>
      <c r="C44" s="36" t="s">
        <v>26</v>
      </c>
      <c r="D44" s="37"/>
      <c r="E44" s="37">
        <f>SUM(E32:E43)</f>
        <v>1189500</v>
      </c>
      <c r="F44" s="37">
        <f>SUM(F32:F43)</f>
        <v>897500</v>
      </c>
      <c r="G44" s="37"/>
      <c r="H44" s="38">
        <f>SUM(H32:H43)</f>
        <v>837270.58</v>
      </c>
      <c r="I44" s="38">
        <f>SUM(I32:I43)</f>
        <v>96267.290000000008</v>
      </c>
      <c r="J44" s="43"/>
      <c r="K44" s="43"/>
    </row>
    <row r="45" spans="2:11" s="17" customFormat="1" ht="15" thickBot="1" x14ac:dyDescent="0.35">
      <c r="B45" s="13">
        <v>44743</v>
      </c>
      <c r="C45" s="14" t="s">
        <v>12</v>
      </c>
      <c r="D45" s="15"/>
      <c r="E45" s="15"/>
      <c r="F45" s="15"/>
      <c r="G45" s="15"/>
      <c r="H45" s="16">
        <v>0</v>
      </c>
      <c r="I45" s="16">
        <v>0</v>
      </c>
      <c r="J45" s="14"/>
      <c r="K45" s="14"/>
    </row>
    <row r="46" spans="2:11" s="17" customFormat="1" ht="15" thickBot="1" x14ac:dyDescent="0.35">
      <c r="B46" s="18"/>
      <c r="C46" s="14" t="s">
        <v>13</v>
      </c>
      <c r="D46" s="15"/>
      <c r="E46" s="15"/>
      <c r="F46" s="15"/>
      <c r="G46" s="15"/>
      <c r="H46" s="16">
        <v>38794.51</v>
      </c>
      <c r="I46" s="16">
        <v>0</v>
      </c>
      <c r="J46" s="14"/>
      <c r="K46" s="14"/>
    </row>
    <row r="47" spans="2:11" s="17" customFormat="1" ht="15" thickBot="1" x14ac:dyDescent="0.35">
      <c r="B47" s="18"/>
      <c r="C47" s="14" t="s">
        <v>14</v>
      </c>
      <c r="D47" s="15"/>
      <c r="E47" s="15"/>
      <c r="F47" s="15">
        <v>127000</v>
      </c>
      <c r="G47" s="15"/>
      <c r="H47" s="16">
        <v>15842.08</v>
      </c>
      <c r="I47" s="16">
        <v>0</v>
      </c>
      <c r="J47" s="14"/>
      <c r="K47" s="14"/>
    </row>
    <row r="48" spans="2:11" s="17" customFormat="1" ht="15" thickBot="1" x14ac:dyDescent="0.35">
      <c r="B48" s="18"/>
      <c r="C48" s="14" t="s">
        <v>16</v>
      </c>
      <c r="D48" s="15"/>
      <c r="E48" s="15"/>
      <c r="F48" s="15"/>
      <c r="G48" s="15"/>
      <c r="H48" s="16">
        <v>0</v>
      </c>
      <c r="I48" s="16">
        <v>0</v>
      </c>
      <c r="J48" s="14"/>
      <c r="K48" s="14"/>
    </row>
    <row r="49" spans="2:11" s="23" customFormat="1" ht="15" thickBot="1" x14ac:dyDescent="0.35">
      <c r="B49" s="18"/>
      <c r="C49" s="19" t="s">
        <v>17</v>
      </c>
      <c r="D49" s="20"/>
      <c r="E49" s="48">
        <f>+(4*31)*3850</f>
        <v>477400</v>
      </c>
      <c r="F49" s="20">
        <v>362500</v>
      </c>
      <c r="G49" s="20"/>
      <c r="H49" s="49">
        <v>172088.88</v>
      </c>
      <c r="I49" s="22">
        <v>0</v>
      </c>
      <c r="J49" s="19"/>
      <c r="K49" s="19"/>
    </row>
    <row r="50" spans="2:11" s="23" customFormat="1" ht="15" thickBot="1" x14ac:dyDescent="0.35">
      <c r="B50" s="18"/>
      <c r="C50" s="19" t="s">
        <v>18</v>
      </c>
      <c r="D50" s="20"/>
      <c r="E50" s="20"/>
      <c r="F50" s="20"/>
      <c r="G50" s="20"/>
      <c r="H50" s="49">
        <v>69987.64</v>
      </c>
      <c r="I50" s="30">
        <v>0</v>
      </c>
      <c r="J50" s="51" t="s">
        <v>31</v>
      </c>
      <c r="K50" s="50" t="s">
        <v>31</v>
      </c>
    </row>
    <row r="51" spans="2:11" s="23" customFormat="1" ht="27.6" thickBot="1" x14ac:dyDescent="0.35">
      <c r="B51" s="18"/>
      <c r="C51" s="19" t="s">
        <v>19</v>
      </c>
      <c r="D51" s="20"/>
      <c r="E51" s="48">
        <f>(4*3850)*31</f>
        <v>477400</v>
      </c>
      <c r="F51" s="20">
        <v>56000</v>
      </c>
      <c r="G51" s="20"/>
      <c r="H51" s="52">
        <v>189567.11</v>
      </c>
      <c r="I51" s="60">
        <v>11404.55</v>
      </c>
      <c r="J51" s="54" t="s">
        <v>32</v>
      </c>
      <c r="K51" s="55" t="s">
        <v>34</v>
      </c>
    </row>
    <row r="52" spans="2:11" ht="15" thickBot="1" x14ac:dyDescent="0.35">
      <c r="B52" s="18"/>
      <c r="C52" s="56" t="s">
        <v>21</v>
      </c>
      <c r="D52" s="57"/>
      <c r="E52" s="57"/>
      <c r="F52" s="57"/>
      <c r="G52" s="57"/>
      <c r="H52" s="58">
        <v>0</v>
      </c>
      <c r="I52" s="58">
        <v>0</v>
      </c>
      <c r="J52" s="59"/>
      <c r="K52" s="59"/>
    </row>
    <row r="53" spans="2:11" s="17" customFormat="1" ht="15" thickBot="1" x14ac:dyDescent="0.35">
      <c r="B53" s="18"/>
      <c r="C53" s="14" t="s">
        <v>22</v>
      </c>
      <c r="D53" s="15"/>
      <c r="E53" s="15">
        <v>108500</v>
      </c>
      <c r="F53" s="15">
        <v>120000</v>
      </c>
      <c r="G53" s="15"/>
      <c r="H53" s="16">
        <v>5942.49</v>
      </c>
      <c r="I53" s="16">
        <v>0</v>
      </c>
      <c r="J53" s="14"/>
      <c r="K53" s="14"/>
    </row>
    <row r="54" spans="2:11" s="23" customFormat="1" ht="15" thickBot="1" x14ac:dyDescent="0.35">
      <c r="B54" s="18"/>
      <c r="C54" s="19" t="s">
        <v>23</v>
      </c>
      <c r="D54" s="20"/>
      <c r="E54" s="48">
        <f>2500*31</f>
        <v>77500</v>
      </c>
      <c r="F54" s="20">
        <v>125000</v>
      </c>
      <c r="G54" s="20"/>
      <c r="H54" s="49">
        <v>41135.89</v>
      </c>
      <c r="I54" s="22">
        <v>0</v>
      </c>
      <c r="J54" s="19"/>
      <c r="K54" s="19"/>
    </row>
    <row r="55" spans="2:11" s="17" customFormat="1" ht="29.4" thickBot="1" x14ac:dyDescent="0.35">
      <c r="B55" s="18"/>
      <c r="C55" s="14" t="s">
        <v>24</v>
      </c>
      <c r="D55" s="15"/>
      <c r="E55" s="15"/>
      <c r="F55" s="15"/>
      <c r="G55" s="15"/>
      <c r="H55" s="16">
        <v>0</v>
      </c>
      <c r="I55" s="16">
        <v>0</v>
      </c>
      <c r="J55" s="14"/>
      <c r="K55" s="14"/>
    </row>
    <row r="56" spans="2:11" s="34" customFormat="1" ht="15" thickBot="1" x14ac:dyDescent="0.35">
      <c r="B56" s="18"/>
      <c r="C56" s="31" t="s">
        <v>25</v>
      </c>
      <c r="D56" s="32"/>
      <c r="E56" s="61">
        <v>65000</v>
      </c>
      <c r="F56" s="32">
        <v>65000</v>
      </c>
      <c r="G56" s="32"/>
      <c r="H56" s="33">
        <v>76141</v>
      </c>
      <c r="I56" s="33">
        <v>0</v>
      </c>
      <c r="J56" s="31"/>
      <c r="K56" s="31"/>
    </row>
    <row r="57" spans="2:11" ht="15" thickBot="1" x14ac:dyDescent="0.35">
      <c r="B57" s="35"/>
      <c r="C57" s="36" t="s">
        <v>26</v>
      </c>
      <c r="D57" s="37"/>
      <c r="E57" s="37">
        <f>SUM(E45:E56)</f>
        <v>1205800</v>
      </c>
      <c r="F57" s="37">
        <f>SUM(F45:F56)</f>
        <v>855500</v>
      </c>
      <c r="G57" s="37"/>
      <c r="H57" s="38">
        <f>SUM(H45:H56)</f>
        <v>609499.6</v>
      </c>
      <c r="I57" s="38">
        <f>SUM(I45:I56)</f>
        <v>11404.55</v>
      </c>
      <c r="J57" s="36"/>
      <c r="K57" s="36"/>
    </row>
    <row r="58" spans="2:11" s="17" customFormat="1" ht="15" thickBot="1" x14ac:dyDescent="0.35">
      <c r="B58" s="13">
        <v>44774</v>
      </c>
      <c r="C58" s="14" t="s">
        <v>12</v>
      </c>
      <c r="D58" s="15"/>
      <c r="E58" s="15"/>
      <c r="F58" s="15"/>
      <c r="G58" s="15"/>
      <c r="H58" s="16">
        <v>0</v>
      </c>
      <c r="I58" s="16">
        <v>0</v>
      </c>
      <c r="J58" s="14"/>
      <c r="K58" s="14"/>
    </row>
    <row r="59" spans="2:11" s="17" customFormat="1" ht="15" thickBot="1" x14ac:dyDescent="0.35">
      <c r="B59" s="18"/>
      <c r="C59" s="14" t="s">
        <v>13</v>
      </c>
      <c r="D59" s="15"/>
      <c r="E59" s="15"/>
      <c r="F59" s="15"/>
      <c r="G59" s="15"/>
      <c r="H59" s="16">
        <v>14567.63</v>
      </c>
      <c r="I59" s="16">
        <v>0</v>
      </c>
      <c r="J59" s="14"/>
      <c r="K59" s="14"/>
    </row>
    <row r="60" spans="2:11" s="17" customFormat="1" ht="15" thickBot="1" x14ac:dyDescent="0.35">
      <c r="B60" s="18"/>
      <c r="C60" s="14" t="s">
        <v>14</v>
      </c>
      <c r="D60" s="15"/>
      <c r="E60" s="15">
        <v>77000</v>
      </c>
      <c r="F60" s="15">
        <f>400000+43600</f>
        <v>443600</v>
      </c>
      <c r="G60" s="15"/>
      <c r="H60" s="16">
        <v>81384.710000000006</v>
      </c>
      <c r="I60" s="14">
        <v>3825.95</v>
      </c>
      <c r="J60" s="14" t="s">
        <v>35</v>
      </c>
      <c r="K60" s="14">
        <v>3825.95</v>
      </c>
    </row>
    <row r="61" spans="2:11" s="17" customFormat="1" ht="15" thickBot="1" x14ac:dyDescent="0.35">
      <c r="B61" s="18"/>
      <c r="C61" s="14" t="s">
        <v>16</v>
      </c>
      <c r="D61" s="15"/>
      <c r="E61" s="45"/>
      <c r="F61" s="15"/>
      <c r="G61" s="15"/>
      <c r="H61" s="16">
        <v>0</v>
      </c>
      <c r="I61" s="16">
        <v>0</v>
      </c>
      <c r="J61" s="14"/>
      <c r="K61" s="14"/>
    </row>
    <row r="62" spans="2:11" s="23" customFormat="1" ht="15" thickBot="1" x14ac:dyDescent="0.35">
      <c r="B62" s="18"/>
      <c r="C62" s="19" t="s">
        <v>17</v>
      </c>
      <c r="D62" s="20"/>
      <c r="E62" s="48">
        <v>250250</v>
      </c>
      <c r="F62" s="20">
        <v>392500</v>
      </c>
      <c r="G62" s="20"/>
      <c r="H62" s="49">
        <v>159051.4</v>
      </c>
      <c r="I62" s="50">
        <v>3961.15</v>
      </c>
      <c r="J62" s="51" t="s">
        <v>29</v>
      </c>
      <c r="K62" s="50">
        <v>3961.15</v>
      </c>
    </row>
    <row r="63" spans="2:11" s="23" customFormat="1" ht="15" thickBot="1" x14ac:dyDescent="0.35">
      <c r="B63" s="18"/>
      <c r="C63" s="19" t="s">
        <v>18</v>
      </c>
      <c r="D63" s="20"/>
      <c r="E63" s="20"/>
      <c r="F63" s="20"/>
      <c r="G63" s="20"/>
      <c r="H63" s="49">
        <v>98851.87</v>
      </c>
      <c r="I63" s="30">
        <v>0</v>
      </c>
      <c r="J63" s="51" t="s">
        <v>31</v>
      </c>
      <c r="K63" s="50" t="s">
        <v>31</v>
      </c>
    </row>
    <row r="64" spans="2:11" s="23" customFormat="1" ht="15" thickBot="1" x14ac:dyDescent="0.35">
      <c r="B64" s="18"/>
      <c r="C64" s="19" t="s">
        <v>19</v>
      </c>
      <c r="D64" s="20"/>
      <c r="E64" s="48">
        <v>346500</v>
      </c>
      <c r="F64" s="20">
        <v>254000</v>
      </c>
      <c r="G64" s="20"/>
      <c r="H64" s="52">
        <v>101771.85</v>
      </c>
      <c r="I64" s="53">
        <v>7860.34</v>
      </c>
      <c r="J64" s="54" t="s">
        <v>20</v>
      </c>
      <c r="K64" s="53">
        <v>7860.34</v>
      </c>
    </row>
    <row r="65" spans="2:11" ht="15" thickBot="1" x14ac:dyDescent="0.35">
      <c r="B65" s="18"/>
      <c r="C65" s="56" t="s">
        <v>21</v>
      </c>
      <c r="D65" s="57"/>
      <c r="E65" s="57"/>
      <c r="F65" s="57"/>
      <c r="G65" s="57"/>
      <c r="H65" s="58">
        <v>0</v>
      </c>
      <c r="I65" s="58">
        <v>0</v>
      </c>
      <c r="J65" s="59"/>
      <c r="K65" s="59"/>
    </row>
    <row r="66" spans="2:11" s="17" customFormat="1" ht="15" thickBot="1" x14ac:dyDescent="0.35">
      <c r="B66" s="18"/>
      <c r="C66" s="14" t="s">
        <v>22</v>
      </c>
      <c r="D66" s="15"/>
      <c r="E66" s="15">
        <v>46500</v>
      </c>
      <c r="F66" s="15">
        <v>279000</v>
      </c>
      <c r="G66" s="15"/>
      <c r="H66" s="16">
        <v>12654.4</v>
      </c>
      <c r="I66" s="16">
        <v>0</v>
      </c>
      <c r="J66" s="14"/>
      <c r="K66" s="14"/>
    </row>
    <row r="67" spans="2:11" s="23" customFormat="1" ht="15" thickBot="1" x14ac:dyDescent="0.35">
      <c r="B67" s="18"/>
      <c r="C67" s="19" t="s">
        <v>23</v>
      </c>
      <c r="D67" s="20"/>
      <c r="E67" s="20">
        <v>62000</v>
      </c>
      <c r="F67" s="20">
        <v>122000</v>
      </c>
      <c r="G67" s="20"/>
      <c r="H67" s="49">
        <v>57105.38</v>
      </c>
      <c r="I67" s="22">
        <v>0</v>
      </c>
      <c r="J67" s="19"/>
      <c r="K67" s="19"/>
    </row>
    <row r="68" spans="2:11" s="17" customFormat="1" ht="29.4" thickBot="1" x14ac:dyDescent="0.35">
      <c r="B68" s="18"/>
      <c r="C68" s="14" t="s">
        <v>24</v>
      </c>
      <c r="D68" s="15"/>
      <c r="E68" s="15"/>
      <c r="F68" s="15"/>
      <c r="G68" s="15"/>
      <c r="H68" s="16">
        <v>0</v>
      </c>
      <c r="I68" s="16">
        <v>0</v>
      </c>
      <c r="J68" s="14"/>
      <c r="K68" s="14"/>
    </row>
    <row r="69" spans="2:11" s="34" customFormat="1" ht="15" thickBot="1" x14ac:dyDescent="0.35">
      <c r="B69" s="18"/>
      <c r="C69" s="31" t="s">
        <v>25</v>
      </c>
      <c r="D69" s="32"/>
      <c r="E69" s="61">
        <v>65000</v>
      </c>
      <c r="F69" s="32">
        <v>65000</v>
      </c>
      <c r="G69" s="32"/>
      <c r="H69" s="33">
        <v>51150.3</v>
      </c>
      <c r="I69" s="33">
        <v>0</v>
      </c>
      <c r="J69" s="31"/>
      <c r="K69" s="31"/>
    </row>
    <row r="70" spans="2:11" ht="15" thickBot="1" x14ac:dyDescent="0.35">
      <c r="B70" s="35"/>
      <c r="C70" s="36" t="s">
        <v>26</v>
      </c>
      <c r="D70" s="37"/>
      <c r="E70" s="37">
        <f>SUM(E58:E69)</f>
        <v>847250</v>
      </c>
      <c r="F70" s="37">
        <f>SUM(F58:F69)</f>
        <v>1556100</v>
      </c>
      <c r="G70" s="37"/>
      <c r="H70" s="38">
        <f>SUM(H58:H69)</f>
        <v>576537.54</v>
      </c>
      <c r="I70" s="38">
        <f>SUM(I58:I69)</f>
        <v>15647.44</v>
      </c>
      <c r="J70" s="43"/>
      <c r="K70" s="43"/>
    </row>
    <row r="71" spans="2:11" s="17" customFormat="1" ht="15" thickBot="1" x14ac:dyDescent="0.35">
      <c r="B71" s="13">
        <v>44805</v>
      </c>
      <c r="C71" s="14" t="s">
        <v>12</v>
      </c>
      <c r="D71" s="15"/>
      <c r="E71" s="15"/>
      <c r="F71" s="15"/>
      <c r="G71" s="15"/>
      <c r="H71" s="16">
        <v>0</v>
      </c>
      <c r="I71" s="16">
        <v>0</v>
      </c>
      <c r="J71" s="14"/>
      <c r="K71" s="14"/>
    </row>
    <row r="72" spans="2:11" s="17" customFormat="1" ht="15" customHeight="1" thickBot="1" x14ac:dyDescent="0.35">
      <c r="B72" s="18"/>
      <c r="C72" s="14" t="s">
        <v>13</v>
      </c>
      <c r="D72" s="15"/>
      <c r="E72" s="15">
        <v>115500</v>
      </c>
      <c r="F72" s="15">
        <v>115500</v>
      </c>
      <c r="G72" s="15"/>
      <c r="H72" s="16">
        <v>7695.95</v>
      </c>
      <c r="I72" s="62">
        <v>26525.19</v>
      </c>
      <c r="J72" s="14" t="s">
        <v>36</v>
      </c>
      <c r="K72" s="63" t="s">
        <v>37</v>
      </c>
    </row>
    <row r="73" spans="2:11" s="17" customFormat="1" ht="15" customHeight="1" thickBot="1" x14ac:dyDescent="0.35">
      <c r="B73" s="18"/>
      <c r="C73" s="14" t="s">
        <v>14</v>
      </c>
      <c r="D73" s="15"/>
      <c r="E73" s="15"/>
      <c r="F73" s="15">
        <f>120000+62500</f>
        <v>182500</v>
      </c>
      <c r="G73" s="15"/>
      <c r="H73" s="16">
        <v>15786.3</v>
      </c>
      <c r="I73" s="14">
        <v>50897.75</v>
      </c>
      <c r="J73" s="46" t="s">
        <v>38</v>
      </c>
      <c r="K73" s="64" t="s">
        <v>39</v>
      </c>
    </row>
    <row r="74" spans="2:11" s="17" customFormat="1" ht="15" thickBot="1" x14ac:dyDescent="0.35">
      <c r="B74" s="18"/>
      <c r="C74" s="14" t="s">
        <v>16</v>
      </c>
      <c r="D74" s="15"/>
      <c r="E74" s="15"/>
      <c r="F74" s="15"/>
      <c r="G74" s="15"/>
      <c r="H74" s="16">
        <v>41221.019999999997</v>
      </c>
      <c r="I74" s="16">
        <v>0</v>
      </c>
      <c r="J74" s="14"/>
      <c r="K74" s="14"/>
    </row>
    <row r="75" spans="2:11" s="23" customFormat="1" ht="15" thickBot="1" x14ac:dyDescent="0.35">
      <c r="B75" s="18"/>
      <c r="C75" s="19" t="s">
        <v>17</v>
      </c>
      <c r="D75" s="20"/>
      <c r="E75" s="20">
        <v>346500</v>
      </c>
      <c r="F75" s="20">
        <v>206000</v>
      </c>
      <c r="G75" s="20"/>
      <c r="H75" s="49">
        <v>209427.41</v>
      </c>
      <c r="I75" s="50">
        <v>3965.85</v>
      </c>
      <c r="J75" s="51" t="s">
        <v>20</v>
      </c>
      <c r="K75" s="50">
        <v>3965.85</v>
      </c>
    </row>
    <row r="76" spans="2:11" s="23" customFormat="1" ht="15" thickBot="1" x14ac:dyDescent="0.35">
      <c r="B76" s="18"/>
      <c r="C76" s="19" t="s">
        <v>18</v>
      </c>
      <c r="D76" s="20"/>
      <c r="E76" s="20"/>
      <c r="F76" s="20"/>
      <c r="G76" s="20"/>
      <c r="H76" s="49">
        <v>40259.35</v>
      </c>
      <c r="I76" s="30">
        <v>0</v>
      </c>
      <c r="J76" s="51" t="s">
        <v>31</v>
      </c>
      <c r="K76" s="50" t="s">
        <v>31</v>
      </c>
    </row>
    <row r="77" spans="2:11" s="23" customFormat="1" ht="29.4" thickBot="1" x14ac:dyDescent="0.35">
      <c r="B77" s="18"/>
      <c r="C77" s="19" t="s">
        <v>19</v>
      </c>
      <c r="D77" s="20"/>
      <c r="E77" s="20">
        <v>462000</v>
      </c>
      <c r="F77" s="20">
        <v>78300</v>
      </c>
      <c r="G77" s="20"/>
      <c r="H77" s="52">
        <v>148308.26999999999</v>
      </c>
      <c r="I77" s="60">
        <v>51482.32</v>
      </c>
      <c r="J77" s="54" t="s">
        <v>40</v>
      </c>
      <c r="K77" s="55" t="s">
        <v>41</v>
      </c>
    </row>
    <row r="78" spans="2:11" ht="15" thickBot="1" x14ac:dyDescent="0.35">
      <c r="B78" s="18"/>
      <c r="C78" s="56" t="s">
        <v>21</v>
      </c>
      <c r="D78" s="57"/>
      <c r="E78" s="57"/>
      <c r="F78" s="57"/>
      <c r="G78" s="57"/>
      <c r="H78" s="58">
        <v>0</v>
      </c>
      <c r="I78" s="58">
        <v>0</v>
      </c>
      <c r="J78" s="59"/>
      <c r="K78" s="59"/>
    </row>
    <row r="79" spans="2:11" s="17" customFormat="1" ht="15" thickBot="1" x14ac:dyDescent="0.35">
      <c r="B79" s="18"/>
      <c r="C79" s="14" t="s">
        <v>22</v>
      </c>
      <c r="D79" s="15"/>
      <c r="E79" s="15"/>
      <c r="F79" s="15">
        <v>270000</v>
      </c>
      <c r="G79" s="15"/>
      <c r="H79" s="16">
        <v>15150.28</v>
      </c>
      <c r="I79" s="16">
        <v>0</v>
      </c>
      <c r="J79" s="14"/>
      <c r="K79" s="14"/>
    </row>
    <row r="80" spans="2:11" s="23" customFormat="1" ht="15" thickBot="1" x14ac:dyDescent="0.35">
      <c r="B80" s="18"/>
      <c r="C80" s="19" t="s">
        <v>23</v>
      </c>
      <c r="D80" s="20"/>
      <c r="E80" s="20">
        <v>75000</v>
      </c>
      <c r="F80" s="20">
        <v>59400</v>
      </c>
      <c r="G80" s="20"/>
      <c r="H80" s="49">
        <v>59562.54</v>
      </c>
      <c r="I80" s="22">
        <v>0</v>
      </c>
      <c r="J80" s="19"/>
      <c r="K80" s="19"/>
    </row>
    <row r="81" spans="2:11" s="17" customFormat="1" ht="29.4" thickBot="1" x14ac:dyDescent="0.35">
      <c r="B81" s="18"/>
      <c r="C81" s="14" t="s">
        <v>24</v>
      </c>
      <c r="D81" s="15"/>
      <c r="E81" s="15"/>
      <c r="F81" s="15"/>
      <c r="G81" s="15"/>
      <c r="H81" s="16">
        <v>0</v>
      </c>
      <c r="I81" s="16">
        <v>0</v>
      </c>
      <c r="J81" s="14"/>
      <c r="K81" s="14"/>
    </row>
    <row r="82" spans="2:11" s="34" customFormat="1" ht="15" thickBot="1" x14ac:dyDescent="0.35">
      <c r="B82" s="18"/>
      <c r="C82" s="31" t="s">
        <v>25</v>
      </c>
      <c r="D82" s="32"/>
      <c r="E82" s="32">
        <v>65000</v>
      </c>
      <c r="F82" s="32">
        <v>65000</v>
      </c>
      <c r="G82" s="32"/>
      <c r="H82" s="33">
        <v>55303.71</v>
      </c>
      <c r="I82" s="33">
        <v>0</v>
      </c>
      <c r="J82" s="31"/>
      <c r="K82" s="31"/>
    </row>
    <row r="83" spans="2:11" ht="15" thickBot="1" x14ac:dyDescent="0.35">
      <c r="B83" s="35"/>
      <c r="C83" s="11" t="s">
        <v>26</v>
      </c>
      <c r="D83" s="57"/>
      <c r="E83" s="57">
        <f>SUM(E71:E82)</f>
        <v>1064000</v>
      </c>
      <c r="F83" s="57">
        <f>SUM(F71:F82)</f>
        <v>976700</v>
      </c>
      <c r="G83" s="57"/>
      <c r="H83" s="65">
        <f>SUM(H71:H82)</f>
        <v>592714.82999999996</v>
      </c>
      <c r="I83" s="65">
        <f>SUM(I71:I82)</f>
        <v>132871.11000000002</v>
      </c>
      <c r="J83" s="59"/>
      <c r="K83" s="59"/>
    </row>
    <row r="84" spans="2:11" s="17" customFormat="1" ht="15" thickBot="1" x14ac:dyDescent="0.35">
      <c r="B84" s="13">
        <v>44835</v>
      </c>
      <c r="C84" s="14" t="s">
        <v>12</v>
      </c>
      <c r="D84" s="15"/>
      <c r="E84" s="15"/>
      <c r="F84" s="15"/>
      <c r="G84" s="15"/>
      <c r="H84" s="16">
        <v>0</v>
      </c>
      <c r="I84" s="16">
        <v>0</v>
      </c>
      <c r="J84" s="14"/>
      <c r="K84" s="14"/>
    </row>
    <row r="85" spans="2:11" s="17" customFormat="1" ht="43.8" thickBot="1" x14ac:dyDescent="0.35">
      <c r="B85" s="18"/>
      <c r="C85" s="14" t="s">
        <v>13</v>
      </c>
      <c r="D85" s="15"/>
      <c r="E85" s="15"/>
      <c r="F85" s="15"/>
      <c r="G85" s="15"/>
      <c r="H85" s="16">
        <v>15273.75</v>
      </c>
      <c r="I85" s="62">
        <v>14386.77</v>
      </c>
      <c r="J85" s="14" t="s">
        <v>42</v>
      </c>
      <c r="K85" s="66" t="s">
        <v>43</v>
      </c>
    </row>
    <row r="86" spans="2:11" s="17" customFormat="1" ht="15" customHeight="1" thickBot="1" x14ac:dyDescent="0.35">
      <c r="B86" s="18"/>
      <c r="C86" s="14" t="s">
        <v>14</v>
      </c>
      <c r="D86" s="15"/>
      <c r="E86" s="15"/>
      <c r="F86" s="15"/>
      <c r="G86" s="15"/>
      <c r="H86" s="16">
        <v>19495.310000000001</v>
      </c>
      <c r="I86" s="14">
        <v>40044</v>
      </c>
      <c r="J86" s="14" t="s">
        <v>44</v>
      </c>
      <c r="K86" s="14" t="s">
        <v>45</v>
      </c>
    </row>
    <row r="87" spans="2:11" s="17" customFormat="1" ht="15" thickBot="1" x14ac:dyDescent="0.35">
      <c r="B87" s="18"/>
      <c r="C87" s="14" t="s">
        <v>16</v>
      </c>
      <c r="D87" s="15"/>
      <c r="E87" s="15"/>
      <c r="F87" s="15"/>
      <c r="G87" s="15"/>
      <c r="H87" s="16">
        <v>8321.52</v>
      </c>
      <c r="I87" s="16">
        <v>0</v>
      </c>
      <c r="J87" s="14"/>
      <c r="K87" s="14"/>
    </row>
    <row r="88" spans="2:11" s="23" customFormat="1" ht="15" thickBot="1" x14ac:dyDescent="0.35">
      <c r="B88" s="18"/>
      <c r="C88" s="19" t="s">
        <v>17</v>
      </c>
      <c r="D88" s="20"/>
      <c r="E88" s="20">
        <v>358050</v>
      </c>
      <c r="F88" s="20"/>
      <c r="G88" s="20"/>
      <c r="H88" s="49">
        <v>232681.94</v>
      </c>
      <c r="I88" s="50">
        <v>3888.26</v>
      </c>
      <c r="J88" s="51" t="s">
        <v>20</v>
      </c>
      <c r="K88" s="50">
        <v>3888.26</v>
      </c>
    </row>
    <row r="89" spans="2:11" s="23" customFormat="1" ht="15" thickBot="1" x14ac:dyDescent="0.35">
      <c r="B89" s="18"/>
      <c r="C89" s="19" t="s">
        <v>18</v>
      </c>
      <c r="D89" s="20"/>
      <c r="E89" s="20"/>
      <c r="F89" s="20"/>
      <c r="G89" s="20"/>
      <c r="H89" s="49">
        <v>28580.19</v>
      </c>
      <c r="I89" s="30">
        <v>0</v>
      </c>
      <c r="J89" s="51" t="s">
        <v>31</v>
      </c>
      <c r="K89" s="50" t="s">
        <v>31</v>
      </c>
    </row>
    <row r="90" spans="2:11" s="23" customFormat="1" ht="40.799999999999997" thickBot="1" x14ac:dyDescent="0.35">
      <c r="B90" s="18"/>
      <c r="C90" s="19" t="s">
        <v>19</v>
      </c>
      <c r="D90" s="20"/>
      <c r="E90" s="20">
        <v>596750</v>
      </c>
      <c r="F90" s="20"/>
      <c r="G90" s="20"/>
      <c r="H90" s="52">
        <v>205647.7</v>
      </c>
      <c r="I90" s="60">
        <v>43465.599999999999</v>
      </c>
      <c r="J90" s="54" t="s">
        <v>40</v>
      </c>
      <c r="K90" s="55" t="s">
        <v>46</v>
      </c>
    </row>
    <row r="91" spans="2:11" ht="15" thickBot="1" x14ac:dyDescent="0.35">
      <c r="B91" s="18"/>
      <c r="C91" s="56" t="s">
        <v>21</v>
      </c>
      <c r="D91" s="57"/>
      <c r="E91" s="57"/>
      <c r="F91" s="57"/>
      <c r="G91" s="57"/>
      <c r="H91" s="58">
        <v>0</v>
      </c>
      <c r="I91" s="58">
        <v>0</v>
      </c>
      <c r="J91" s="59"/>
      <c r="K91" s="59"/>
    </row>
    <row r="92" spans="2:11" s="17" customFormat="1" ht="15" thickBot="1" x14ac:dyDescent="0.35">
      <c r="B92" s="18"/>
      <c r="C92" s="14" t="s">
        <v>22</v>
      </c>
      <c r="D92" s="15"/>
      <c r="E92" s="15">
        <v>0</v>
      </c>
      <c r="F92" s="15"/>
      <c r="G92" s="15"/>
      <c r="H92" s="16">
        <v>17761.62</v>
      </c>
      <c r="I92" s="16">
        <v>0</v>
      </c>
      <c r="J92" s="14"/>
      <c r="K92" s="14"/>
    </row>
    <row r="93" spans="2:11" s="23" customFormat="1" ht="15" thickBot="1" x14ac:dyDescent="0.35">
      <c r="B93" s="18"/>
      <c r="C93" s="19" t="s">
        <v>23</v>
      </c>
      <c r="D93" s="20"/>
      <c r="E93" s="20">
        <v>93000</v>
      </c>
      <c r="F93" s="20"/>
      <c r="G93" s="20"/>
      <c r="H93" s="49">
        <v>65667.520000000004</v>
      </c>
      <c r="I93" s="19"/>
      <c r="J93" s="19"/>
      <c r="K93" s="19"/>
    </row>
    <row r="94" spans="2:11" s="17" customFormat="1" ht="29.4" thickBot="1" x14ac:dyDescent="0.35">
      <c r="B94" s="18"/>
      <c r="C94" s="14" t="s">
        <v>24</v>
      </c>
      <c r="D94" s="15"/>
      <c r="E94" s="15"/>
      <c r="F94" s="15"/>
      <c r="G94" s="15"/>
      <c r="H94" s="16">
        <v>0</v>
      </c>
      <c r="I94" s="16">
        <v>0</v>
      </c>
      <c r="J94" s="14"/>
      <c r="K94" s="14"/>
    </row>
    <row r="95" spans="2:11" s="34" customFormat="1" ht="15" thickBot="1" x14ac:dyDescent="0.35">
      <c r="B95" s="18"/>
      <c r="C95" s="31" t="s">
        <v>25</v>
      </c>
      <c r="D95" s="32"/>
      <c r="E95" s="32">
        <v>92400</v>
      </c>
      <c r="F95" s="32"/>
      <c r="G95" s="32"/>
      <c r="H95" s="33">
        <v>76933.55</v>
      </c>
      <c r="I95" s="33">
        <v>0</v>
      </c>
      <c r="J95" s="31"/>
      <c r="K95" s="31"/>
    </row>
    <row r="96" spans="2:11" ht="15" thickBot="1" x14ac:dyDescent="0.35">
      <c r="B96" s="35"/>
      <c r="C96" s="11" t="s">
        <v>26</v>
      </c>
      <c r="D96" s="57"/>
      <c r="E96" s="57">
        <f>SUM(E84:E95)</f>
        <v>1140200</v>
      </c>
      <c r="F96" s="57">
        <f>SUM(F84:F95)</f>
        <v>0</v>
      </c>
      <c r="G96" s="57"/>
      <c r="H96" s="65">
        <f>SUM(H84:H95)</f>
        <v>670363.10000000009</v>
      </c>
      <c r="I96" s="65">
        <f>SUM(I84:I95)</f>
        <v>101784.63</v>
      </c>
      <c r="J96" s="59"/>
      <c r="K96" s="59"/>
    </row>
    <row r="97" spans="2:14" s="17" customFormat="1" ht="15" thickBot="1" x14ac:dyDescent="0.35">
      <c r="B97" s="13">
        <v>44866</v>
      </c>
      <c r="C97" s="14" t="s">
        <v>12</v>
      </c>
      <c r="D97" s="15"/>
      <c r="E97" s="15"/>
      <c r="F97" s="15"/>
      <c r="G97" s="15"/>
      <c r="H97" s="16">
        <v>0</v>
      </c>
      <c r="I97" s="16">
        <v>0</v>
      </c>
      <c r="J97" s="14"/>
      <c r="K97" s="14"/>
      <c r="M97" s="67"/>
      <c r="N97" s="67"/>
    </row>
    <row r="98" spans="2:14" s="17" customFormat="1" ht="15" thickBot="1" x14ac:dyDescent="0.35">
      <c r="B98" s="18"/>
      <c r="C98" s="14" t="s">
        <v>13</v>
      </c>
      <c r="D98" s="15"/>
      <c r="E98" s="15"/>
      <c r="F98" s="15"/>
      <c r="G98" s="15"/>
      <c r="H98" s="16">
        <v>0</v>
      </c>
      <c r="I98" s="16">
        <v>0</v>
      </c>
      <c r="J98" s="14"/>
      <c r="K98" s="14"/>
      <c r="M98" s="67"/>
      <c r="N98" s="67"/>
    </row>
    <row r="99" spans="2:14" s="17" customFormat="1" ht="15" customHeight="1" thickBot="1" x14ac:dyDescent="0.35">
      <c r="B99" s="18"/>
      <c r="C99" s="14" t="s">
        <v>14</v>
      </c>
      <c r="D99" s="15"/>
      <c r="E99" s="15"/>
      <c r="F99" s="15">
        <v>115500</v>
      </c>
      <c r="G99" s="15"/>
      <c r="H99" s="16">
        <v>36353.199999999997</v>
      </c>
      <c r="I99" s="14">
        <v>54602.09</v>
      </c>
      <c r="J99" s="14" t="s">
        <v>38</v>
      </c>
      <c r="K99" s="68" t="s">
        <v>47</v>
      </c>
      <c r="M99" s="67"/>
      <c r="N99" s="67"/>
    </row>
    <row r="100" spans="2:14" s="17" customFormat="1" ht="15" thickBot="1" x14ac:dyDescent="0.35">
      <c r="B100" s="18"/>
      <c r="C100" s="14" t="s">
        <v>16</v>
      </c>
      <c r="D100" s="15"/>
      <c r="E100" s="15"/>
      <c r="F100" s="15"/>
      <c r="G100" s="15"/>
      <c r="H100" s="16">
        <v>4118.63</v>
      </c>
      <c r="I100" s="16">
        <v>0</v>
      </c>
      <c r="J100" s="14"/>
      <c r="K100" s="14"/>
    </row>
    <row r="101" spans="2:14" s="23" customFormat="1" ht="15" thickBot="1" x14ac:dyDescent="0.35">
      <c r="B101" s="18"/>
      <c r="C101" s="19" t="s">
        <v>17</v>
      </c>
      <c r="D101" s="20"/>
      <c r="E101" s="20">
        <v>346500</v>
      </c>
      <c r="F101" s="20">
        <v>367000</v>
      </c>
      <c r="G101" s="20"/>
      <c r="H101" s="49">
        <v>338588.95</v>
      </c>
      <c r="I101" s="22">
        <v>0</v>
      </c>
      <c r="J101" s="19"/>
      <c r="K101" s="19"/>
    </row>
    <row r="102" spans="2:14" s="23" customFormat="1" ht="15" thickBot="1" x14ac:dyDescent="0.35">
      <c r="B102" s="18"/>
      <c r="C102" s="19" t="s">
        <v>18</v>
      </c>
      <c r="D102" s="20"/>
      <c r="E102" s="20"/>
      <c r="F102" s="20"/>
      <c r="G102" s="20"/>
      <c r="H102" s="49">
        <v>22110.32</v>
      </c>
      <c r="I102" s="30">
        <v>0</v>
      </c>
      <c r="J102" s="51" t="s">
        <v>31</v>
      </c>
      <c r="K102" s="50" t="s">
        <v>31</v>
      </c>
    </row>
    <row r="103" spans="2:14" s="23" customFormat="1" ht="40.799999999999997" thickBot="1" x14ac:dyDescent="0.35">
      <c r="B103" s="18"/>
      <c r="C103" s="19" t="s">
        <v>19</v>
      </c>
      <c r="D103" s="20"/>
      <c r="E103" s="20">
        <v>462000</v>
      </c>
      <c r="F103" s="20">
        <v>412000</v>
      </c>
      <c r="G103" s="20"/>
      <c r="H103" s="52">
        <v>217647.23</v>
      </c>
      <c r="I103" s="60">
        <v>26622.15</v>
      </c>
      <c r="J103" s="54" t="s">
        <v>40</v>
      </c>
      <c r="K103" s="55" t="s">
        <v>48</v>
      </c>
    </row>
    <row r="104" spans="2:14" ht="15" thickBot="1" x14ac:dyDescent="0.35">
      <c r="B104" s="18"/>
      <c r="C104" s="56" t="s">
        <v>21</v>
      </c>
      <c r="D104" s="57"/>
      <c r="E104" s="57"/>
      <c r="F104" s="57"/>
      <c r="G104" s="57"/>
      <c r="H104" s="58">
        <v>0</v>
      </c>
      <c r="I104" s="58">
        <v>0</v>
      </c>
      <c r="J104" s="59"/>
      <c r="K104" s="59"/>
    </row>
    <row r="105" spans="2:14" s="17" customFormat="1" ht="15" thickBot="1" x14ac:dyDescent="0.35">
      <c r="B105" s="18"/>
      <c r="C105" s="14" t="s">
        <v>22</v>
      </c>
      <c r="D105" s="15"/>
      <c r="E105" s="15"/>
      <c r="F105" s="15">
        <v>270000</v>
      </c>
      <c r="G105" s="15"/>
      <c r="H105" s="16">
        <v>42385.43</v>
      </c>
      <c r="I105" s="16">
        <v>0</v>
      </c>
      <c r="J105" s="14"/>
      <c r="K105" s="14"/>
    </row>
    <row r="106" spans="2:14" s="23" customFormat="1" ht="15" thickBot="1" x14ac:dyDescent="0.35">
      <c r="B106" s="18"/>
      <c r="C106" s="19" t="s">
        <v>23</v>
      </c>
      <c r="D106" s="20"/>
      <c r="E106" s="20">
        <v>57750</v>
      </c>
      <c r="F106" s="20">
        <v>141000</v>
      </c>
      <c r="G106" s="20"/>
      <c r="H106" s="49">
        <v>91296.53</v>
      </c>
      <c r="I106" s="19"/>
      <c r="J106" s="19"/>
      <c r="K106" s="19"/>
    </row>
    <row r="107" spans="2:14" s="17" customFormat="1" ht="29.4" thickBot="1" x14ac:dyDescent="0.35">
      <c r="B107" s="18"/>
      <c r="C107" s="14" t="s">
        <v>24</v>
      </c>
      <c r="D107" s="15"/>
      <c r="E107" s="15"/>
      <c r="F107" s="15"/>
      <c r="G107" s="15"/>
      <c r="H107" s="16">
        <v>0</v>
      </c>
      <c r="I107" s="16">
        <v>0</v>
      </c>
      <c r="J107" s="14"/>
      <c r="K107" s="14"/>
    </row>
    <row r="108" spans="2:14" s="34" customFormat="1" ht="15" thickBot="1" x14ac:dyDescent="0.35">
      <c r="B108" s="18"/>
      <c r="C108" s="31" t="s">
        <v>25</v>
      </c>
      <c r="D108" s="32"/>
      <c r="E108" s="32">
        <v>65450</v>
      </c>
      <c r="F108" s="32">
        <v>70000</v>
      </c>
      <c r="G108" s="32"/>
      <c r="H108" s="33">
        <v>81239.81</v>
      </c>
      <c r="I108" s="33">
        <v>0</v>
      </c>
      <c r="J108" s="31"/>
      <c r="K108" s="31"/>
    </row>
    <row r="109" spans="2:14" ht="15" thickBot="1" x14ac:dyDescent="0.35">
      <c r="B109" s="35"/>
      <c r="C109" s="11" t="s">
        <v>26</v>
      </c>
      <c r="D109" s="57"/>
      <c r="E109" s="57">
        <f>SUM(E97:E108)</f>
        <v>931700</v>
      </c>
      <c r="F109" s="57">
        <f>SUM(F97:F108)</f>
        <v>1375500</v>
      </c>
      <c r="G109" s="57"/>
      <c r="H109" s="58">
        <f>SUM(H97:H108)</f>
        <v>833740.10000000009</v>
      </c>
      <c r="I109" s="58">
        <f>SUM(I97:I108)</f>
        <v>81224.239999999991</v>
      </c>
      <c r="J109" s="59"/>
      <c r="K109" s="59"/>
    </row>
    <row r="110" spans="2:14" s="17" customFormat="1" ht="15" thickBot="1" x14ac:dyDescent="0.35">
      <c r="B110" s="13">
        <v>44896</v>
      </c>
      <c r="C110" s="14" t="s">
        <v>12</v>
      </c>
      <c r="D110" s="15"/>
      <c r="E110" s="15"/>
      <c r="F110" s="15"/>
      <c r="G110" s="15"/>
      <c r="H110" s="16">
        <v>0</v>
      </c>
      <c r="I110" s="16">
        <v>0</v>
      </c>
      <c r="J110" s="14"/>
      <c r="K110" s="14"/>
    </row>
    <row r="111" spans="2:14" s="17" customFormat="1" ht="29.4" thickBot="1" x14ac:dyDescent="0.35">
      <c r="B111" s="18"/>
      <c r="C111" s="14" t="s">
        <v>13</v>
      </c>
      <c r="D111" s="15"/>
      <c r="E111" s="15"/>
      <c r="F111" s="15"/>
      <c r="G111" s="15"/>
      <c r="H111" s="16">
        <v>0</v>
      </c>
      <c r="I111" s="62">
        <v>6799.35</v>
      </c>
      <c r="J111" s="14" t="s">
        <v>49</v>
      </c>
      <c r="K111" s="62" t="s">
        <v>50</v>
      </c>
    </row>
    <row r="112" spans="2:14" s="17" customFormat="1" ht="15" customHeight="1" thickBot="1" x14ac:dyDescent="0.35">
      <c r="B112" s="18"/>
      <c r="C112" s="14" t="s">
        <v>14</v>
      </c>
      <c r="D112" s="15"/>
      <c r="E112" s="15">
        <v>61600</v>
      </c>
      <c r="F112" s="15">
        <v>115500</v>
      </c>
      <c r="G112" s="15"/>
      <c r="H112" s="16">
        <v>19665.53</v>
      </c>
      <c r="I112" s="14">
        <v>41558.949999999997</v>
      </c>
      <c r="J112" s="14" t="s">
        <v>51</v>
      </c>
      <c r="K112" s="14" t="s">
        <v>52</v>
      </c>
    </row>
    <row r="113" spans="2:11" s="17" customFormat="1" ht="15" thickBot="1" x14ac:dyDescent="0.35">
      <c r="B113" s="18"/>
      <c r="C113" s="14" t="s">
        <v>16</v>
      </c>
      <c r="D113" s="15"/>
      <c r="E113" s="15"/>
      <c r="F113" s="15"/>
      <c r="G113" s="15"/>
      <c r="H113" s="16">
        <v>20393.62</v>
      </c>
      <c r="I113" s="69">
        <v>0</v>
      </c>
      <c r="J113" s="14"/>
      <c r="K113" s="14"/>
    </row>
    <row r="114" spans="2:11" s="23" customFormat="1" ht="15" thickBot="1" x14ac:dyDescent="0.35">
      <c r="B114" s="18"/>
      <c r="C114" s="19" t="s">
        <v>17</v>
      </c>
      <c r="D114" s="20"/>
      <c r="E114" s="20">
        <v>358050</v>
      </c>
      <c r="F114" s="20">
        <v>483000</v>
      </c>
      <c r="G114" s="20"/>
      <c r="H114" s="70">
        <v>376688.36</v>
      </c>
      <c r="I114" s="71">
        <v>3948.6</v>
      </c>
      <c r="J114" s="51" t="s">
        <v>29</v>
      </c>
      <c r="K114" s="50">
        <v>3948.6</v>
      </c>
    </row>
    <row r="115" spans="2:11" s="23" customFormat="1" ht="15" thickBot="1" x14ac:dyDescent="0.35">
      <c r="B115" s="18"/>
      <c r="C115" s="19" t="s">
        <v>18</v>
      </c>
      <c r="D115" s="20"/>
      <c r="E115" s="20"/>
      <c r="F115" s="20"/>
      <c r="G115" s="20"/>
      <c r="H115" s="70">
        <v>15753.71</v>
      </c>
      <c r="I115" s="72">
        <v>0</v>
      </c>
      <c r="J115" s="51" t="s">
        <v>31</v>
      </c>
      <c r="K115" s="50" t="s">
        <v>31</v>
      </c>
    </row>
    <row r="116" spans="2:11" s="23" customFormat="1" ht="40.799999999999997" thickBot="1" x14ac:dyDescent="0.35">
      <c r="B116" s="18"/>
      <c r="C116" s="19" t="s">
        <v>19</v>
      </c>
      <c r="D116" s="20"/>
      <c r="E116" s="20">
        <v>477400</v>
      </c>
      <c r="F116" s="20">
        <v>400000</v>
      </c>
      <c r="G116" s="20"/>
      <c r="H116" s="52">
        <v>249389.58</v>
      </c>
      <c r="I116" s="60">
        <v>32220.99</v>
      </c>
      <c r="J116" s="54" t="s">
        <v>53</v>
      </c>
      <c r="K116" s="55" t="s">
        <v>54</v>
      </c>
    </row>
    <row r="117" spans="2:11" ht="15" thickBot="1" x14ac:dyDescent="0.35">
      <c r="B117" s="18"/>
      <c r="C117" s="56" t="s">
        <v>21</v>
      </c>
      <c r="D117" s="57"/>
      <c r="E117" s="57"/>
      <c r="F117" s="57"/>
      <c r="G117" s="57"/>
      <c r="H117" s="58">
        <v>0</v>
      </c>
      <c r="I117" s="58">
        <v>0</v>
      </c>
      <c r="J117" s="59"/>
      <c r="K117" s="59"/>
    </row>
    <row r="118" spans="2:11" s="17" customFormat="1" ht="15" thickBot="1" x14ac:dyDescent="0.35">
      <c r="B118" s="18"/>
      <c r="C118" s="14" t="s">
        <v>22</v>
      </c>
      <c r="D118" s="15"/>
      <c r="E118" s="15">
        <v>62000</v>
      </c>
      <c r="F118" s="15">
        <v>279000</v>
      </c>
      <c r="G118" s="15"/>
      <c r="H118" s="16">
        <v>60472.86</v>
      </c>
      <c r="I118" s="16">
        <v>0</v>
      </c>
      <c r="J118" s="14"/>
      <c r="K118" s="14"/>
    </row>
    <row r="119" spans="2:11" s="23" customFormat="1" ht="15" thickBot="1" x14ac:dyDescent="0.35">
      <c r="B119" s="18"/>
      <c r="C119" s="19" t="s">
        <v>23</v>
      </c>
      <c r="D119" s="20"/>
      <c r="E119" s="48">
        <v>108499.99999999999</v>
      </c>
      <c r="F119" s="20">
        <v>183000</v>
      </c>
      <c r="G119" s="20"/>
      <c r="H119" s="49">
        <v>117856.61</v>
      </c>
      <c r="I119" s="22">
        <v>0</v>
      </c>
      <c r="J119" s="19"/>
      <c r="K119" s="19"/>
    </row>
    <row r="120" spans="2:11" s="17" customFormat="1" ht="29.4" thickBot="1" x14ac:dyDescent="0.35">
      <c r="B120" s="18"/>
      <c r="C120" s="14" t="s">
        <v>24</v>
      </c>
      <c r="D120" s="15"/>
      <c r="E120" s="15"/>
      <c r="F120" s="15"/>
      <c r="G120" s="15"/>
      <c r="H120" s="16">
        <v>0</v>
      </c>
      <c r="I120" s="16">
        <v>0</v>
      </c>
      <c r="J120" s="14"/>
      <c r="K120" s="14"/>
    </row>
    <row r="121" spans="2:11" s="34" customFormat="1" ht="15" thickBot="1" x14ac:dyDescent="0.35">
      <c r="B121" s="18"/>
      <c r="C121" s="31" t="s">
        <v>25</v>
      </c>
      <c r="D121" s="32"/>
      <c r="E121" s="32">
        <v>70000</v>
      </c>
      <c r="F121" s="32">
        <v>70000</v>
      </c>
      <c r="G121" s="32"/>
      <c r="H121" s="33">
        <v>81377.7</v>
      </c>
      <c r="I121" s="33">
        <v>0</v>
      </c>
      <c r="J121" s="31"/>
      <c r="K121" s="31"/>
    </row>
    <row r="122" spans="2:11" ht="15" thickBot="1" x14ac:dyDescent="0.35">
      <c r="B122" s="35"/>
      <c r="C122" s="11" t="s">
        <v>26</v>
      </c>
      <c r="D122" s="57"/>
      <c r="E122" s="57">
        <f>SUM(E110:E121)</f>
        <v>1137550</v>
      </c>
      <c r="F122" s="57">
        <f>SUM(F110:F121)</f>
        <v>1530500</v>
      </c>
      <c r="G122" s="57"/>
      <c r="H122" s="65">
        <f>SUM(H110:H121)</f>
        <v>941597.97</v>
      </c>
      <c r="I122" s="65">
        <f>SUM(I110:I121)</f>
        <v>84527.89</v>
      </c>
      <c r="J122" s="59"/>
      <c r="K122" s="59"/>
    </row>
    <row r="123" spans="2:11" s="17" customFormat="1" ht="15" thickBot="1" x14ac:dyDescent="0.35">
      <c r="B123" s="13">
        <v>44927</v>
      </c>
      <c r="C123" s="14" t="s">
        <v>12</v>
      </c>
      <c r="D123" s="15"/>
      <c r="E123" s="15"/>
      <c r="F123" s="15"/>
      <c r="G123" s="15"/>
      <c r="H123" s="16">
        <v>0</v>
      </c>
      <c r="I123" s="16">
        <v>0</v>
      </c>
      <c r="J123" s="14"/>
      <c r="K123" s="14"/>
    </row>
    <row r="124" spans="2:11" s="17" customFormat="1" ht="15" thickBot="1" x14ac:dyDescent="0.35">
      <c r="B124" s="18"/>
      <c r="C124" s="14" t="s">
        <v>13</v>
      </c>
      <c r="D124" s="15"/>
      <c r="E124" s="15"/>
      <c r="F124" s="15"/>
      <c r="G124" s="15"/>
      <c r="H124" s="16">
        <v>0</v>
      </c>
      <c r="I124" s="62">
        <v>3748.7</v>
      </c>
      <c r="J124" s="14" t="s">
        <v>29</v>
      </c>
      <c r="K124" s="62">
        <v>3748.7</v>
      </c>
    </row>
    <row r="125" spans="2:11" s="17" customFormat="1" ht="15" thickBot="1" x14ac:dyDescent="0.35">
      <c r="B125" s="18"/>
      <c r="C125" s="14" t="s">
        <v>14</v>
      </c>
      <c r="D125" s="15"/>
      <c r="E125" s="15"/>
      <c r="F125" s="15"/>
      <c r="G125" s="15"/>
      <c r="H125" s="16">
        <v>7884.55</v>
      </c>
      <c r="I125" s="14">
        <v>7558.59</v>
      </c>
      <c r="J125" s="14" t="s">
        <v>55</v>
      </c>
      <c r="K125" s="14">
        <v>7558.59</v>
      </c>
    </row>
    <row r="126" spans="2:11" s="17" customFormat="1" ht="15" thickBot="1" x14ac:dyDescent="0.35">
      <c r="B126" s="18"/>
      <c r="C126" s="14" t="s">
        <v>16</v>
      </c>
      <c r="D126" s="15"/>
      <c r="E126" s="15"/>
      <c r="F126" s="15"/>
      <c r="G126" s="15"/>
      <c r="H126" s="16">
        <v>15961.42</v>
      </c>
      <c r="I126" s="16">
        <v>0</v>
      </c>
      <c r="J126" s="14"/>
      <c r="K126" s="14"/>
    </row>
    <row r="127" spans="2:11" s="23" customFormat="1" ht="15" thickBot="1" x14ac:dyDescent="0.35">
      <c r="B127" s="18"/>
      <c r="C127" s="19" t="s">
        <v>17</v>
      </c>
      <c r="D127" s="20"/>
      <c r="E127" s="20">
        <v>288750</v>
      </c>
      <c r="F127" s="20">
        <v>560000</v>
      </c>
      <c r="G127" s="20"/>
      <c r="H127" s="49">
        <v>384501.99</v>
      </c>
      <c r="I127" s="50">
        <v>4000.05</v>
      </c>
      <c r="J127" s="51" t="s">
        <v>29</v>
      </c>
      <c r="K127" s="50">
        <v>4000.05</v>
      </c>
    </row>
    <row r="128" spans="2:11" s="23" customFormat="1" ht="15" thickBot="1" x14ac:dyDescent="0.35">
      <c r="B128" s="18"/>
      <c r="C128" s="19" t="s">
        <v>18</v>
      </c>
      <c r="D128" s="20"/>
      <c r="E128" s="20"/>
      <c r="F128" s="20"/>
      <c r="G128" s="20"/>
      <c r="H128" s="49">
        <v>0</v>
      </c>
      <c r="I128" s="30">
        <v>0</v>
      </c>
      <c r="J128" s="51" t="s">
        <v>31</v>
      </c>
      <c r="K128" s="50" t="s">
        <v>31</v>
      </c>
    </row>
    <row r="129" spans="2:11" s="23" customFormat="1" ht="15" thickBot="1" x14ac:dyDescent="0.35">
      <c r="B129" s="18"/>
      <c r="C129" s="19" t="s">
        <v>19</v>
      </c>
      <c r="D129" s="20"/>
      <c r="E129" s="20">
        <v>477400</v>
      </c>
      <c r="F129" s="20">
        <v>235000</v>
      </c>
      <c r="G129" s="20"/>
      <c r="H129" s="52">
        <v>268384.57</v>
      </c>
      <c r="I129" s="60">
        <v>15380.63</v>
      </c>
      <c r="J129" s="54" t="s">
        <v>56</v>
      </c>
      <c r="K129" s="55" t="s">
        <v>57</v>
      </c>
    </row>
    <row r="130" spans="2:11" ht="15" thickBot="1" x14ac:dyDescent="0.35">
      <c r="B130" s="18"/>
      <c r="C130" s="56" t="s">
        <v>21</v>
      </c>
      <c r="D130" s="57"/>
      <c r="E130" s="57"/>
      <c r="F130" s="57"/>
      <c r="G130" s="57"/>
      <c r="H130" s="58"/>
      <c r="I130" s="59"/>
      <c r="J130" s="59"/>
      <c r="K130" s="59"/>
    </row>
    <row r="131" spans="2:11" s="17" customFormat="1" ht="15" thickBot="1" x14ac:dyDescent="0.35">
      <c r="B131" s="18"/>
      <c r="C131" s="14" t="s">
        <v>22</v>
      </c>
      <c r="D131" s="15"/>
      <c r="E131" s="15">
        <v>57750</v>
      </c>
      <c r="F131" s="15">
        <v>279000</v>
      </c>
      <c r="G131" s="15"/>
      <c r="H131" s="16">
        <v>70545.710000000006</v>
      </c>
      <c r="I131" s="16">
        <v>0</v>
      </c>
      <c r="J131" s="14"/>
      <c r="K131" s="14"/>
    </row>
    <row r="132" spans="2:11" s="23" customFormat="1" ht="15" thickBot="1" x14ac:dyDescent="0.35">
      <c r="B132" s="18"/>
      <c r="C132" s="19" t="s">
        <v>23</v>
      </c>
      <c r="D132" s="20"/>
      <c r="E132" s="20">
        <v>119350</v>
      </c>
      <c r="F132" s="20">
        <v>170500</v>
      </c>
      <c r="G132" s="20"/>
      <c r="H132" s="49">
        <v>115432.19</v>
      </c>
      <c r="I132" s="22">
        <v>0</v>
      </c>
      <c r="J132" s="19"/>
      <c r="K132" s="19"/>
    </row>
    <row r="133" spans="2:11" s="17" customFormat="1" ht="29.4" thickBot="1" x14ac:dyDescent="0.35">
      <c r="B133" s="18"/>
      <c r="C133" s="14" t="s">
        <v>24</v>
      </c>
      <c r="D133" s="15"/>
      <c r="E133" s="15"/>
      <c r="F133" s="15"/>
      <c r="G133" s="15"/>
      <c r="H133" s="16">
        <v>0</v>
      </c>
      <c r="I133" s="16">
        <v>0</v>
      </c>
      <c r="J133" s="14"/>
      <c r="K133" s="14"/>
    </row>
    <row r="134" spans="2:11" s="34" customFormat="1" ht="15" thickBot="1" x14ac:dyDescent="0.35">
      <c r="B134" s="18"/>
      <c r="C134" s="31" t="s">
        <v>25</v>
      </c>
      <c r="D134" s="32"/>
      <c r="E134" s="32">
        <v>67000</v>
      </c>
      <c r="F134" s="32">
        <v>67000</v>
      </c>
      <c r="G134" s="32"/>
      <c r="H134" s="33">
        <v>104865.75</v>
      </c>
      <c r="I134" s="33">
        <v>0</v>
      </c>
      <c r="J134" s="31"/>
      <c r="K134" s="31"/>
    </row>
    <row r="135" spans="2:11" ht="15" thickBot="1" x14ac:dyDescent="0.35">
      <c r="B135" s="35"/>
      <c r="C135" s="11" t="s">
        <v>26</v>
      </c>
      <c r="D135" s="57"/>
      <c r="E135" s="57">
        <f>SUM(E123:E134)</f>
        <v>1010250</v>
      </c>
      <c r="F135" s="57">
        <f>SUM(F123:F134)</f>
        <v>1311500</v>
      </c>
      <c r="G135" s="57"/>
      <c r="H135" s="65">
        <f>SUM(H123:H134)</f>
        <v>967576.17999999993</v>
      </c>
      <c r="I135" s="65">
        <f>SUM(I123:I134)</f>
        <v>30687.97</v>
      </c>
      <c r="J135" s="59"/>
      <c r="K135" s="59"/>
    </row>
    <row r="136" spans="2:11" s="17" customFormat="1" ht="15" thickBot="1" x14ac:dyDescent="0.35">
      <c r="B136" s="13">
        <v>44958</v>
      </c>
      <c r="C136" s="14" t="s">
        <v>12</v>
      </c>
      <c r="D136" s="15"/>
      <c r="E136" s="15"/>
      <c r="F136" s="15"/>
      <c r="G136" s="15"/>
      <c r="H136" s="16">
        <v>0</v>
      </c>
      <c r="I136" s="16">
        <v>0</v>
      </c>
      <c r="J136" s="14"/>
      <c r="K136" s="14"/>
    </row>
    <row r="137" spans="2:11" s="17" customFormat="1" ht="15" thickBot="1" x14ac:dyDescent="0.35">
      <c r="B137" s="18"/>
      <c r="C137" s="14" t="s">
        <v>13</v>
      </c>
      <c r="D137" s="15"/>
      <c r="E137" s="15"/>
      <c r="F137" s="15"/>
      <c r="G137" s="15"/>
      <c r="H137" s="16">
        <v>0</v>
      </c>
      <c r="I137" s="16">
        <v>0</v>
      </c>
      <c r="J137" s="14"/>
      <c r="K137" s="14"/>
    </row>
    <row r="138" spans="2:11" s="17" customFormat="1" ht="15" thickBot="1" x14ac:dyDescent="0.35">
      <c r="B138" s="18"/>
      <c r="C138" s="14" t="s">
        <v>14</v>
      </c>
      <c r="D138" s="15"/>
      <c r="E138" s="15"/>
      <c r="F138" s="15"/>
      <c r="G138" s="15"/>
      <c r="H138" s="16">
        <v>3851.25</v>
      </c>
      <c r="I138" s="16">
        <v>0</v>
      </c>
      <c r="J138" s="14"/>
      <c r="K138" s="14"/>
    </row>
    <row r="139" spans="2:11" s="17" customFormat="1" ht="15" thickBot="1" x14ac:dyDescent="0.35">
      <c r="B139" s="18"/>
      <c r="C139" s="14" t="s">
        <v>16</v>
      </c>
      <c r="D139" s="15"/>
      <c r="E139" s="15"/>
      <c r="F139" s="15"/>
      <c r="G139" s="15"/>
      <c r="H139" s="16">
        <v>8024.25</v>
      </c>
      <c r="I139" s="16">
        <v>0</v>
      </c>
      <c r="J139" s="14"/>
      <c r="K139" s="14"/>
    </row>
    <row r="140" spans="2:11" s="23" customFormat="1" ht="15" thickBot="1" x14ac:dyDescent="0.35">
      <c r="B140" s="18"/>
      <c r="C140" s="19" t="s">
        <v>17</v>
      </c>
      <c r="D140" s="20"/>
      <c r="E140" s="20">
        <f>2*28*3850</f>
        <v>215600</v>
      </c>
      <c r="F140" s="20">
        <v>530000</v>
      </c>
      <c r="G140" s="20"/>
      <c r="H140" s="49">
        <v>401544.96000000002</v>
      </c>
      <c r="I140" s="50">
        <v>3875.9</v>
      </c>
      <c r="J140" s="51" t="s">
        <v>29</v>
      </c>
      <c r="K140" s="50">
        <v>3875.9</v>
      </c>
    </row>
    <row r="141" spans="2:11" s="23" customFormat="1" ht="15" thickBot="1" x14ac:dyDescent="0.35">
      <c r="B141" s="18"/>
      <c r="C141" s="19" t="s">
        <v>18</v>
      </c>
      <c r="D141" s="20"/>
      <c r="E141" s="20"/>
      <c r="F141" s="20"/>
      <c r="G141" s="20"/>
      <c r="H141" s="49">
        <v>31803.63</v>
      </c>
      <c r="I141" s="30">
        <v>0</v>
      </c>
      <c r="J141" s="51" t="s">
        <v>31</v>
      </c>
      <c r="K141" s="50" t="s">
        <v>31</v>
      </c>
    </row>
    <row r="142" spans="2:11" s="23" customFormat="1" ht="15" thickBot="1" x14ac:dyDescent="0.35">
      <c r="B142" s="18"/>
      <c r="C142" s="19" t="s">
        <v>19</v>
      </c>
      <c r="D142" s="20"/>
      <c r="E142" s="20">
        <f>5.5*28*3850</f>
        <v>592900</v>
      </c>
      <c r="F142" s="20">
        <v>180700</v>
      </c>
      <c r="G142" s="20"/>
      <c r="H142" s="52">
        <v>267003.53999999998</v>
      </c>
      <c r="I142" s="53">
        <v>8126.72</v>
      </c>
      <c r="J142" s="54" t="s">
        <v>20</v>
      </c>
      <c r="K142" s="53">
        <v>8126.72</v>
      </c>
    </row>
    <row r="143" spans="2:11" ht="15" thickBot="1" x14ac:dyDescent="0.35">
      <c r="B143" s="18"/>
      <c r="C143" s="56" t="s">
        <v>21</v>
      </c>
      <c r="D143" s="57"/>
      <c r="E143" s="57"/>
      <c r="F143" s="57"/>
      <c r="G143" s="57"/>
      <c r="H143" s="58">
        <v>0</v>
      </c>
      <c r="I143" s="58">
        <v>0</v>
      </c>
      <c r="J143" s="59"/>
      <c r="K143" s="59"/>
    </row>
    <row r="144" spans="2:11" s="17" customFormat="1" ht="15" thickBot="1" x14ac:dyDescent="0.35">
      <c r="B144" s="18"/>
      <c r="C144" s="14" t="s">
        <v>22</v>
      </c>
      <c r="D144" s="15"/>
      <c r="E144" s="15">
        <f>0.5*28*3850</f>
        <v>53900</v>
      </c>
      <c r="F144" s="15">
        <v>252000</v>
      </c>
      <c r="G144" s="15"/>
      <c r="H144" s="16">
        <v>71263.600000000006</v>
      </c>
      <c r="I144" s="16">
        <v>0</v>
      </c>
      <c r="J144" s="14"/>
      <c r="K144" s="14"/>
    </row>
    <row r="145" spans="2:11" s="23" customFormat="1" ht="15" thickBot="1" x14ac:dyDescent="0.35">
      <c r="B145" s="18"/>
      <c r="C145" s="19" t="s">
        <v>23</v>
      </c>
      <c r="D145" s="20"/>
      <c r="E145" s="20">
        <f>1.2*3850*28</f>
        <v>129360</v>
      </c>
      <c r="F145" s="20">
        <v>131000</v>
      </c>
      <c r="G145" s="20"/>
      <c r="H145" s="49">
        <v>93880.68</v>
      </c>
      <c r="I145" s="22">
        <v>0</v>
      </c>
      <c r="J145" s="19"/>
      <c r="K145" s="19"/>
    </row>
    <row r="146" spans="2:11" s="17" customFormat="1" ht="29.4" thickBot="1" x14ac:dyDescent="0.35">
      <c r="B146" s="18"/>
      <c r="C146" s="14" t="s">
        <v>24</v>
      </c>
      <c r="D146" s="15"/>
      <c r="E146" s="15"/>
      <c r="F146" s="15"/>
      <c r="G146" s="15"/>
      <c r="H146" s="16">
        <v>0</v>
      </c>
      <c r="I146" s="16">
        <v>0</v>
      </c>
      <c r="J146" s="14"/>
      <c r="K146" s="14"/>
    </row>
    <row r="147" spans="2:11" s="34" customFormat="1" ht="15" thickBot="1" x14ac:dyDescent="0.35">
      <c r="B147" s="18"/>
      <c r="C147" s="31" t="s">
        <v>25</v>
      </c>
      <c r="D147" s="32"/>
      <c r="E147" s="32"/>
      <c r="F147" s="32"/>
      <c r="G147" s="32"/>
      <c r="H147" s="33">
        <v>0</v>
      </c>
      <c r="I147" s="33">
        <v>0</v>
      </c>
      <c r="J147" s="31"/>
      <c r="K147" s="31"/>
    </row>
    <row r="148" spans="2:11" ht="15" thickBot="1" x14ac:dyDescent="0.35">
      <c r="B148" s="35"/>
      <c r="C148" s="11" t="s">
        <v>26</v>
      </c>
      <c r="D148" s="57"/>
      <c r="E148" s="57">
        <f>SUM(E136:E147)</f>
        <v>991760</v>
      </c>
      <c r="F148" s="57">
        <f>SUM(F136:F147)</f>
        <v>1093700</v>
      </c>
      <c r="G148" s="57"/>
      <c r="H148" s="65">
        <f>SUM(H136:H147)</f>
        <v>877371.90999999992</v>
      </c>
      <c r="I148" s="65">
        <f>SUM(I136:I147)</f>
        <v>12002.62</v>
      </c>
      <c r="J148" s="59"/>
      <c r="K148" s="59"/>
    </row>
    <row r="149" spans="2:11" s="17" customFormat="1" ht="15" thickBot="1" x14ac:dyDescent="0.35">
      <c r="B149" s="13">
        <v>44986</v>
      </c>
      <c r="C149" s="14" t="s">
        <v>12</v>
      </c>
      <c r="D149" s="15"/>
      <c r="E149" s="15"/>
      <c r="F149" s="15"/>
      <c r="G149" s="15"/>
      <c r="H149" s="16">
        <v>0</v>
      </c>
      <c r="I149" s="16">
        <v>0</v>
      </c>
      <c r="J149" s="14"/>
      <c r="K149" s="14"/>
    </row>
    <row r="150" spans="2:11" s="17" customFormat="1" ht="15" thickBot="1" x14ac:dyDescent="0.35">
      <c r="B150" s="18"/>
      <c r="C150" s="14" t="s">
        <v>13</v>
      </c>
      <c r="D150" s="15"/>
      <c r="E150" s="15"/>
      <c r="F150" s="15"/>
      <c r="G150" s="15"/>
      <c r="H150" s="16">
        <v>0</v>
      </c>
      <c r="I150" s="16">
        <v>0</v>
      </c>
      <c r="J150" s="14"/>
      <c r="K150" s="14"/>
    </row>
    <row r="151" spans="2:11" s="17" customFormat="1" ht="15" thickBot="1" x14ac:dyDescent="0.35">
      <c r="B151" s="18"/>
      <c r="C151" s="14" t="s">
        <v>14</v>
      </c>
      <c r="D151" s="15"/>
      <c r="E151" s="15"/>
      <c r="F151" s="15"/>
      <c r="G151" s="15"/>
      <c r="H151" s="16">
        <v>0</v>
      </c>
      <c r="I151" s="16">
        <v>0</v>
      </c>
      <c r="J151" s="14"/>
      <c r="K151" s="14"/>
    </row>
    <row r="152" spans="2:11" s="17" customFormat="1" ht="15" thickBot="1" x14ac:dyDescent="0.35">
      <c r="B152" s="18"/>
      <c r="C152" s="14" t="s">
        <v>16</v>
      </c>
      <c r="D152" s="15"/>
      <c r="E152" s="15"/>
      <c r="F152" s="15">
        <v>119350</v>
      </c>
      <c r="G152" s="15"/>
      <c r="H152" s="16">
        <v>35866.019999999997</v>
      </c>
      <c r="I152" s="16">
        <v>0</v>
      </c>
      <c r="J152" s="14"/>
      <c r="K152" s="14"/>
    </row>
    <row r="153" spans="2:11" s="23" customFormat="1" ht="15" thickBot="1" x14ac:dyDescent="0.35">
      <c r="B153" s="18"/>
      <c r="C153" s="19" t="s">
        <v>17</v>
      </c>
      <c r="D153" s="20"/>
      <c r="E153" s="20">
        <f>2*31*3850</f>
        <v>238700</v>
      </c>
      <c r="F153" s="20">
        <v>594600</v>
      </c>
      <c r="G153" s="20"/>
      <c r="H153" s="49">
        <v>546480.04</v>
      </c>
      <c r="I153" s="73">
        <v>3315.8</v>
      </c>
      <c r="J153" s="51" t="s">
        <v>29</v>
      </c>
      <c r="K153" s="50">
        <v>3315.8</v>
      </c>
    </row>
    <row r="154" spans="2:11" s="23" customFormat="1" ht="15" thickBot="1" x14ac:dyDescent="0.35">
      <c r="B154" s="18"/>
      <c r="C154" s="19" t="s">
        <v>18</v>
      </c>
      <c r="D154" s="20"/>
      <c r="E154" s="20"/>
      <c r="F154" s="20"/>
      <c r="G154" s="20"/>
      <c r="H154" s="49">
        <v>35353.279999999999</v>
      </c>
      <c r="I154" s="30">
        <v>0</v>
      </c>
      <c r="J154" s="51" t="s">
        <v>31</v>
      </c>
      <c r="K154" s="50" t="s">
        <v>31</v>
      </c>
    </row>
    <row r="155" spans="2:11" s="23" customFormat="1" ht="40.799999999999997" thickBot="1" x14ac:dyDescent="0.35">
      <c r="B155" s="18"/>
      <c r="C155" s="19" t="s">
        <v>19</v>
      </c>
      <c r="D155" s="20"/>
      <c r="E155" s="20">
        <f>5.5*31*3850</f>
        <v>656425</v>
      </c>
      <c r="F155" s="20">
        <v>361800</v>
      </c>
      <c r="G155" s="20"/>
      <c r="H155" s="52">
        <v>282565.28000000003</v>
      </c>
      <c r="I155" s="74">
        <v>131552.04</v>
      </c>
      <c r="J155" s="54" t="s">
        <v>40</v>
      </c>
      <c r="K155" s="55" t="s">
        <v>58</v>
      </c>
    </row>
    <row r="156" spans="2:11" ht="15" thickBot="1" x14ac:dyDescent="0.35">
      <c r="B156" s="18"/>
      <c r="C156" s="56" t="s">
        <v>21</v>
      </c>
      <c r="D156" s="57"/>
      <c r="E156" s="57"/>
      <c r="F156" s="57"/>
      <c r="G156" s="57"/>
      <c r="H156" s="58">
        <v>0</v>
      </c>
      <c r="I156" s="58">
        <v>0</v>
      </c>
      <c r="J156" s="59"/>
      <c r="K156" s="59"/>
    </row>
    <row r="157" spans="2:11" s="17" customFormat="1" ht="15" thickBot="1" x14ac:dyDescent="0.35">
      <c r="B157" s="18"/>
      <c r="C157" s="14" t="s">
        <v>22</v>
      </c>
      <c r="D157" s="15"/>
      <c r="E157" s="15">
        <f>0.5*31*3850</f>
        <v>59675</v>
      </c>
      <c r="F157" s="15">
        <v>279000</v>
      </c>
      <c r="G157" s="15"/>
      <c r="H157" s="16">
        <v>63372.71</v>
      </c>
      <c r="I157" s="16">
        <v>0</v>
      </c>
      <c r="J157" s="14"/>
      <c r="K157" s="14"/>
    </row>
    <row r="158" spans="2:11" s="23" customFormat="1" ht="15" thickBot="1" x14ac:dyDescent="0.35">
      <c r="B158" s="18"/>
      <c r="C158" s="19" t="s">
        <v>23</v>
      </c>
      <c r="D158" s="20"/>
      <c r="E158" s="20">
        <f>1.1*3850*31</f>
        <v>131285</v>
      </c>
      <c r="F158" s="20">
        <v>170100</v>
      </c>
      <c r="G158" s="20"/>
      <c r="H158" s="49">
        <v>89006.06</v>
      </c>
      <c r="I158" s="19"/>
      <c r="J158" s="19"/>
      <c r="K158" s="19"/>
    </row>
    <row r="159" spans="2:11" s="17" customFormat="1" ht="29.4" thickBot="1" x14ac:dyDescent="0.35">
      <c r="B159" s="18"/>
      <c r="C159" s="14" t="s">
        <v>24</v>
      </c>
      <c r="D159" s="15"/>
      <c r="E159" s="15"/>
      <c r="F159" s="15"/>
      <c r="G159" s="15"/>
      <c r="H159" s="16">
        <v>0</v>
      </c>
      <c r="I159" s="16">
        <v>0</v>
      </c>
      <c r="J159" s="14"/>
      <c r="K159" s="14"/>
    </row>
    <row r="160" spans="2:11" s="34" customFormat="1" ht="15" thickBot="1" x14ac:dyDescent="0.35">
      <c r="B160" s="18"/>
      <c r="C160" s="31" t="s">
        <v>25</v>
      </c>
      <c r="D160" s="32"/>
      <c r="E160" s="32"/>
      <c r="F160" s="32"/>
      <c r="G160" s="32"/>
      <c r="H160" s="33">
        <v>0</v>
      </c>
      <c r="I160" s="33">
        <v>0</v>
      </c>
      <c r="J160" s="31"/>
      <c r="K160" s="31"/>
    </row>
    <row r="161" spans="2:13" ht="15" thickBot="1" x14ac:dyDescent="0.35">
      <c r="B161" s="35"/>
      <c r="C161" s="11" t="s">
        <v>26</v>
      </c>
      <c r="D161" s="57"/>
      <c r="E161" s="57">
        <f>SUM(E149:E160)</f>
        <v>1086085</v>
      </c>
      <c r="F161" s="57">
        <f>SUM(F149:F160)</f>
        <v>1524850</v>
      </c>
      <c r="G161" s="57"/>
      <c r="H161" s="65">
        <f>SUM(H149:H160)</f>
        <v>1052643.3900000001</v>
      </c>
      <c r="I161" s="65">
        <f>SUM(I149:I160)</f>
        <v>134867.84</v>
      </c>
      <c r="J161" s="59"/>
      <c r="K161" s="59"/>
    </row>
    <row r="162" spans="2:13" s="17" customFormat="1" ht="15" thickBot="1" x14ac:dyDescent="0.35">
      <c r="B162" s="75" t="s">
        <v>59</v>
      </c>
      <c r="C162" s="14" t="s">
        <v>12</v>
      </c>
      <c r="D162" s="15"/>
      <c r="E162" s="15">
        <f>+E6+E19+E32+E45+E58+E71+E84+E97+E110+E123+E136+E149</f>
        <v>0</v>
      </c>
      <c r="F162" s="15">
        <f>+F6+F19+F32+F45+F58+F71+F84+F97+F110+F123+F136+F149</f>
        <v>117800</v>
      </c>
      <c r="G162" s="15"/>
      <c r="H162" s="16">
        <f t="shared" ref="H162:I165" si="0">H6+H19+H32+H45+H58+H71+H84+H97+H110+H123+H136+H149</f>
        <v>0</v>
      </c>
      <c r="I162" s="16">
        <v>0</v>
      </c>
      <c r="J162" s="14"/>
      <c r="K162" s="14"/>
      <c r="M162" s="76"/>
    </row>
    <row r="163" spans="2:13" s="17" customFormat="1" ht="15" thickBot="1" x14ac:dyDescent="0.35">
      <c r="B163" s="77"/>
      <c r="C163" s="14" t="s">
        <v>13</v>
      </c>
      <c r="D163" s="15"/>
      <c r="E163" s="15">
        <f t="shared" ref="E163:F173" si="1">+E7+E20+E33+E46+E59+E72+E85+E98+E111+E124+E137+E150</f>
        <v>115500</v>
      </c>
      <c r="F163" s="15">
        <f t="shared" si="1"/>
        <v>115500</v>
      </c>
      <c r="G163" s="15"/>
      <c r="H163" s="16">
        <f t="shared" si="0"/>
        <v>146081.63</v>
      </c>
      <c r="I163" s="14">
        <f t="shared" si="0"/>
        <v>51460.009999999995</v>
      </c>
      <c r="J163" s="14"/>
      <c r="K163" s="14">
        <v>51460.009999999995</v>
      </c>
      <c r="M163" s="76"/>
    </row>
    <row r="164" spans="2:13" s="17" customFormat="1" ht="15" thickBot="1" x14ac:dyDescent="0.35">
      <c r="B164" s="77"/>
      <c r="C164" s="14" t="s">
        <v>14</v>
      </c>
      <c r="D164" s="15"/>
      <c r="E164" s="15">
        <f t="shared" si="1"/>
        <v>431200</v>
      </c>
      <c r="F164" s="15">
        <f t="shared" si="1"/>
        <v>1209100</v>
      </c>
      <c r="G164" s="15"/>
      <c r="H164" s="16">
        <f t="shared" si="0"/>
        <v>337964.59</v>
      </c>
      <c r="I164" s="14">
        <f t="shared" si="0"/>
        <v>291168.73000000004</v>
      </c>
      <c r="J164" s="14"/>
      <c r="K164" s="14">
        <v>291168.73000000004</v>
      </c>
      <c r="M164" s="76"/>
    </row>
    <row r="165" spans="2:13" s="17" customFormat="1" ht="15" thickBot="1" x14ac:dyDescent="0.35">
      <c r="B165" s="77"/>
      <c r="C165" s="14" t="s">
        <v>16</v>
      </c>
      <c r="D165" s="15"/>
      <c r="E165" s="15">
        <f t="shared" si="1"/>
        <v>0</v>
      </c>
      <c r="F165" s="15">
        <f t="shared" si="1"/>
        <v>119350</v>
      </c>
      <c r="G165" s="15"/>
      <c r="H165" s="16">
        <f t="shared" si="0"/>
        <v>133906.47999999998</v>
      </c>
      <c r="I165" s="16">
        <v>0</v>
      </c>
      <c r="J165" s="14"/>
      <c r="K165" s="14">
        <v>0</v>
      </c>
      <c r="M165" s="76"/>
    </row>
    <row r="166" spans="2:13" s="23" customFormat="1" ht="15" thickBot="1" x14ac:dyDescent="0.35">
      <c r="B166" s="77"/>
      <c r="C166" s="19" t="s">
        <v>17</v>
      </c>
      <c r="D166" s="20"/>
      <c r="E166" s="20">
        <f t="shared" si="1"/>
        <v>4046350</v>
      </c>
      <c r="F166" s="20">
        <f t="shared" si="1"/>
        <v>4676850</v>
      </c>
      <c r="G166" s="20"/>
      <c r="H166" s="22">
        <f>H10+H23+H36+H49+H62+H75+H88+H101+H114+H127+H140+H153</f>
        <v>3847037.34</v>
      </c>
      <c r="I166" s="19">
        <f t="shared" ref="I166" si="2">I10+I23+I36+I49+I62+I75+I88+I101+I114+I127+I140+I153</f>
        <v>106561.46</v>
      </c>
      <c r="J166" s="19"/>
      <c r="K166" s="19">
        <f>I166</f>
        <v>106561.46</v>
      </c>
    </row>
    <row r="167" spans="2:13" s="23" customFormat="1" ht="15" thickBot="1" x14ac:dyDescent="0.35">
      <c r="B167" s="77"/>
      <c r="C167" s="19" t="s">
        <v>18</v>
      </c>
      <c r="D167" s="20"/>
      <c r="E167" s="20">
        <f t="shared" si="1"/>
        <v>0</v>
      </c>
      <c r="F167" s="20">
        <f t="shared" si="1"/>
        <v>0</v>
      </c>
      <c r="G167" s="20"/>
      <c r="H167" s="22">
        <f t="shared" ref="H167:I168" si="3">H11+H24+H37+H50+H63+H76+H89+H102+H115+H128+H141+H154</f>
        <v>397303.05000000005</v>
      </c>
      <c r="I167" s="22">
        <v>0</v>
      </c>
      <c r="J167" s="19"/>
      <c r="K167" s="19"/>
    </row>
    <row r="168" spans="2:13" s="23" customFormat="1" ht="15" thickBot="1" x14ac:dyDescent="0.35">
      <c r="B168" s="77"/>
      <c r="C168" s="19" t="s">
        <v>19</v>
      </c>
      <c r="D168" s="20"/>
      <c r="E168" s="20">
        <f t="shared" si="1"/>
        <v>6069525</v>
      </c>
      <c r="F168" s="20">
        <f t="shared" si="1"/>
        <v>2969300</v>
      </c>
      <c r="G168" s="20"/>
      <c r="H168" s="22">
        <f t="shared" si="3"/>
        <v>2896038.9400000004</v>
      </c>
      <c r="I168" s="19">
        <f t="shared" si="3"/>
        <v>384701.66000000003</v>
      </c>
      <c r="J168" s="19"/>
      <c r="K168" s="19">
        <f>I168</f>
        <v>384701.66000000003</v>
      </c>
    </row>
    <row r="169" spans="2:13" ht="15" thickBot="1" x14ac:dyDescent="0.35">
      <c r="B169" s="77"/>
      <c r="C169" s="56" t="s">
        <v>21</v>
      </c>
      <c r="D169" s="57"/>
      <c r="E169" s="57">
        <f t="shared" si="1"/>
        <v>0</v>
      </c>
      <c r="F169" s="57">
        <f t="shared" si="1"/>
        <v>0</v>
      </c>
      <c r="G169" s="57"/>
      <c r="H169" s="30">
        <v>0</v>
      </c>
      <c r="I169" s="58">
        <v>0</v>
      </c>
      <c r="J169" s="59"/>
      <c r="K169" s="59"/>
    </row>
    <row r="170" spans="2:13" ht="15" thickBot="1" x14ac:dyDescent="0.35">
      <c r="B170" s="77"/>
      <c r="C170" s="56" t="s">
        <v>25</v>
      </c>
      <c r="D170" s="57"/>
      <c r="E170" s="57">
        <f t="shared" si="1"/>
        <v>706325</v>
      </c>
      <c r="F170" s="57">
        <f t="shared" si="1"/>
        <v>2388000</v>
      </c>
      <c r="G170" s="57"/>
      <c r="H170" s="30">
        <v>0</v>
      </c>
      <c r="I170" s="58">
        <v>0</v>
      </c>
      <c r="J170" s="59"/>
      <c r="K170" s="59"/>
    </row>
    <row r="171" spans="2:13" s="17" customFormat="1" ht="15" thickBot="1" x14ac:dyDescent="0.35">
      <c r="B171" s="77"/>
      <c r="C171" s="14" t="s">
        <v>22</v>
      </c>
      <c r="D171" s="15"/>
      <c r="E171" s="15">
        <f t="shared" si="1"/>
        <v>1138095</v>
      </c>
      <c r="F171" s="15">
        <f t="shared" si="1"/>
        <v>1583200</v>
      </c>
      <c r="G171" s="15"/>
      <c r="H171" s="16">
        <v>491563.75</v>
      </c>
      <c r="I171" s="16">
        <v>0</v>
      </c>
      <c r="J171" s="14"/>
      <c r="K171" s="14"/>
    </row>
    <row r="172" spans="2:13" s="23" customFormat="1" ht="15" thickBot="1" x14ac:dyDescent="0.35">
      <c r="B172" s="77"/>
      <c r="C172" s="19" t="s">
        <v>23</v>
      </c>
      <c r="D172" s="20"/>
      <c r="E172" s="20">
        <f t="shared" si="1"/>
        <v>0</v>
      </c>
      <c r="F172" s="20">
        <f t="shared" si="1"/>
        <v>0</v>
      </c>
      <c r="G172" s="20"/>
      <c r="H172" s="22">
        <v>991160.40999999992</v>
      </c>
      <c r="I172" s="19"/>
      <c r="J172" s="19"/>
      <c r="K172" s="19"/>
    </row>
    <row r="173" spans="2:13" s="17" customFormat="1" ht="29.4" thickBot="1" x14ac:dyDescent="0.35">
      <c r="B173" s="77"/>
      <c r="C173" s="14" t="s">
        <v>24</v>
      </c>
      <c r="D173" s="15"/>
      <c r="E173" s="15">
        <f t="shared" si="1"/>
        <v>543750</v>
      </c>
      <c r="F173" s="15">
        <f t="shared" si="1"/>
        <v>467000</v>
      </c>
      <c r="G173" s="15"/>
      <c r="H173" s="16">
        <v>0</v>
      </c>
      <c r="I173" s="16">
        <v>0</v>
      </c>
      <c r="J173" s="14"/>
      <c r="K173" s="14"/>
    </row>
    <row r="174" spans="2:13" ht="16.2" thickBot="1" x14ac:dyDescent="0.35">
      <c r="B174" s="78"/>
      <c r="C174" s="79" t="s">
        <v>26</v>
      </c>
      <c r="D174" s="80"/>
      <c r="E174" s="80">
        <f>SUM(E162:E173)</f>
        <v>13050745</v>
      </c>
      <c r="F174" s="80">
        <f>SUM(F162:F173)</f>
        <v>13646100</v>
      </c>
      <c r="G174" s="80"/>
      <c r="H174" s="81">
        <f>SUM(H162:H173)</f>
        <v>9241056.1899999995</v>
      </c>
      <c r="I174" s="81">
        <f>SUM(I162:I173)</f>
        <v>833891.8600000001</v>
      </c>
      <c r="J174" s="59"/>
      <c r="K174" s="59"/>
      <c r="M174" s="82"/>
    </row>
    <row r="175" spans="2:13" s="17" customFormat="1" ht="15" thickBot="1" x14ac:dyDescent="0.35">
      <c r="B175" s="13">
        <v>45017</v>
      </c>
      <c r="C175" s="14" t="s">
        <v>12</v>
      </c>
      <c r="D175" s="15"/>
      <c r="E175" s="15"/>
      <c r="F175" s="15"/>
      <c r="G175" s="15"/>
      <c r="H175" s="16">
        <v>0</v>
      </c>
      <c r="I175" s="16">
        <v>0</v>
      </c>
      <c r="J175" s="14"/>
      <c r="K175" s="14"/>
    </row>
    <row r="176" spans="2:13" s="17" customFormat="1" ht="15" thickBot="1" x14ac:dyDescent="0.35">
      <c r="B176" s="18"/>
      <c r="C176" s="14" t="s">
        <v>13</v>
      </c>
      <c r="D176" s="15"/>
      <c r="E176" s="15"/>
      <c r="F176" s="15"/>
      <c r="G176" s="15"/>
      <c r="H176" s="16">
        <v>0</v>
      </c>
      <c r="I176" s="16">
        <v>0</v>
      </c>
      <c r="J176" s="14"/>
      <c r="K176" s="14"/>
    </row>
    <row r="177" spans="2:11" s="17" customFormat="1" ht="15" thickBot="1" x14ac:dyDescent="0.35">
      <c r="B177" s="18"/>
      <c r="C177" s="14" t="s">
        <v>14</v>
      </c>
      <c r="D177" s="15"/>
      <c r="E177" s="15"/>
      <c r="F177" s="15"/>
      <c r="G177" s="15"/>
      <c r="H177" s="16">
        <v>15704.93</v>
      </c>
      <c r="I177" s="16">
        <v>0</v>
      </c>
      <c r="J177" s="14"/>
      <c r="K177" s="14"/>
    </row>
    <row r="178" spans="2:11" s="17" customFormat="1" ht="15" thickBot="1" x14ac:dyDescent="0.35">
      <c r="B178" s="18"/>
      <c r="C178" s="14" t="s">
        <v>16</v>
      </c>
      <c r="D178" s="15"/>
      <c r="E178" s="15"/>
      <c r="F178" s="15"/>
      <c r="G178" s="15"/>
      <c r="H178" s="16">
        <v>16099.31</v>
      </c>
      <c r="I178" s="16">
        <v>0</v>
      </c>
      <c r="J178" s="14"/>
      <c r="K178" s="14"/>
    </row>
    <row r="179" spans="2:11" s="23" customFormat="1" ht="15" thickBot="1" x14ac:dyDescent="0.35">
      <c r="B179" s="18"/>
      <c r="C179" s="19" t="s">
        <v>17</v>
      </c>
      <c r="D179" s="20"/>
      <c r="E179" s="20">
        <f>2*30*3850</f>
        <v>231000</v>
      </c>
      <c r="F179" s="20">
        <v>606700</v>
      </c>
      <c r="G179" s="20"/>
      <c r="H179" s="49">
        <v>344160.77</v>
      </c>
      <c r="I179" s="50">
        <v>126465.65</v>
      </c>
      <c r="J179" s="51" t="s">
        <v>29</v>
      </c>
      <c r="K179" s="50">
        <v>126465.65</v>
      </c>
    </row>
    <row r="180" spans="2:11" s="23" customFormat="1" ht="15" thickBot="1" x14ac:dyDescent="0.35">
      <c r="B180" s="18"/>
      <c r="C180" s="19" t="s">
        <v>18</v>
      </c>
      <c r="D180" s="20"/>
      <c r="E180" s="20"/>
      <c r="F180" s="20"/>
      <c r="G180" s="20"/>
      <c r="H180" s="49">
        <v>43177.79</v>
      </c>
      <c r="I180" s="30">
        <v>0</v>
      </c>
      <c r="J180" s="51" t="s">
        <v>31</v>
      </c>
      <c r="K180" s="50" t="s">
        <v>31</v>
      </c>
    </row>
    <row r="181" spans="2:11" s="23" customFormat="1" ht="15" thickBot="1" x14ac:dyDescent="0.35">
      <c r="B181" s="18"/>
      <c r="C181" s="19" t="s">
        <v>19</v>
      </c>
      <c r="D181" s="20"/>
      <c r="E181" s="20">
        <f>5.5*30*3850</f>
        <v>635250</v>
      </c>
      <c r="F181" s="20">
        <v>163300</v>
      </c>
      <c r="G181" s="20"/>
      <c r="H181" s="52">
        <v>172642.38</v>
      </c>
      <c r="I181" s="53">
        <v>106120.62</v>
      </c>
      <c r="J181" s="54" t="s">
        <v>20</v>
      </c>
      <c r="K181" s="53">
        <v>106120.62</v>
      </c>
    </row>
    <row r="182" spans="2:11" ht="15" thickBot="1" x14ac:dyDescent="0.35">
      <c r="B182" s="18"/>
      <c r="C182" s="56" t="s">
        <v>21</v>
      </c>
      <c r="D182" s="57"/>
      <c r="E182" s="57"/>
      <c r="F182" s="57"/>
      <c r="G182" s="57"/>
      <c r="H182" s="58">
        <v>0</v>
      </c>
      <c r="I182" s="58">
        <v>0</v>
      </c>
      <c r="J182" s="59"/>
      <c r="K182" s="59"/>
    </row>
    <row r="183" spans="2:11" s="17" customFormat="1" ht="15" thickBot="1" x14ac:dyDescent="0.35">
      <c r="B183" s="18"/>
      <c r="C183" s="14" t="s">
        <v>22</v>
      </c>
      <c r="D183" s="15"/>
      <c r="E183" s="15">
        <f>0.5*30*3850</f>
        <v>57750</v>
      </c>
      <c r="F183" s="15">
        <v>270000</v>
      </c>
      <c r="G183" s="15"/>
      <c r="H183" s="16">
        <v>59804.29</v>
      </c>
      <c r="I183" s="16">
        <v>0</v>
      </c>
      <c r="J183" s="14"/>
      <c r="K183" s="14"/>
    </row>
    <row r="184" spans="2:11" s="23" customFormat="1" ht="15" thickBot="1" x14ac:dyDescent="0.35">
      <c r="B184" s="18"/>
      <c r="C184" s="19" t="s">
        <v>23</v>
      </c>
      <c r="D184" s="20"/>
      <c r="E184" s="20">
        <f>1.1*30*3850</f>
        <v>127050</v>
      </c>
      <c r="F184" s="20">
        <v>148700</v>
      </c>
      <c r="G184" s="20"/>
      <c r="H184" s="49">
        <v>109457.55</v>
      </c>
      <c r="I184" s="22">
        <v>0</v>
      </c>
      <c r="J184" s="19"/>
      <c r="K184" s="19"/>
    </row>
    <row r="185" spans="2:11" s="17" customFormat="1" ht="29.4" thickBot="1" x14ac:dyDescent="0.35">
      <c r="B185" s="18"/>
      <c r="C185" s="14" t="s">
        <v>24</v>
      </c>
      <c r="D185" s="15"/>
      <c r="E185" s="15"/>
      <c r="F185" s="15"/>
      <c r="G185" s="15"/>
      <c r="H185" s="16">
        <v>0</v>
      </c>
      <c r="I185" s="16">
        <v>0</v>
      </c>
      <c r="J185" s="14"/>
      <c r="K185" s="14"/>
    </row>
    <row r="186" spans="2:11" ht="15" thickBot="1" x14ac:dyDescent="0.35">
      <c r="B186" s="18"/>
      <c r="C186" s="56" t="s">
        <v>60</v>
      </c>
      <c r="D186" s="57"/>
      <c r="E186" s="57"/>
      <c r="F186" s="57"/>
      <c r="G186" s="57"/>
      <c r="H186" s="58">
        <v>0</v>
      </c>
      <c r="I186" s="58">
        <v>0</v>
      </c>
      <c r="J186" s="59"/>
      <c r="K186" s="59"/>
    </row>
    <row r="187" spans="2:11" ht="15" thickBot="1" x14ac:dyDescent="0.35">
      <c r="B187" s="35"/>
      <c r="C187" s="36" t="s">
        <v>26</v>
      </c>
      <c r="D187" s="83"/>
      <c r="E187" s="83">
        <f>SUM(E175:E186)</f>
        <v>1051050</v>
      </c>
      <c r="F187" s="83">
        <f>SUM(F175:F186)</f>
        <v>1188700</v>
      </c>
      <c r="G187" s="83"/>
      <c r="H187" s="38">
        <f>SUM(H175:H186)</f>
        <v>761047.02</v>
      </c>
      <c r="I187" s="38">
        <f>SUM(I175:I186)</f>
        <v>232586.27</v>
      </c>
      <c r="J187" s="43"/>
      <c r="K187" s="43"/>
    </row>
    <row r="188" spans="2:11" s="17" customFormat="1" ht="15" thickBot="1" x14ac:dyDescent="0.35">
      <c r="B188" s="13">
        <v>45047</v>
      </c>
      <c r="C188" s="14" t="s">
        <v>12</v>
      </c>
      <c r="D188" s="15"/>
      <c r="E188" s="15"/>
      <c r="F188" s="15"/>
      <c r="G188" s="15"/>
      <c r="H188" s="16">
        <v>0</v>
      </c>
      <c r="I188" s="16">
        <v>0</v>
      </c>
      <c r="J188" s="14"/>
      <c r="K188" s="14"/>
    </row>
    <row r="189" spans="2:11" s="17" customFormat="1" ht="15" thickBot="1" x14ac:dyDescent="0.35">
      <c r="B189" s="18"/>
      <c r="C189" s="14" t="s">
        <v>13</v>
      </c>
      <c r="D189" s="15"/>
      <c r="E189" s="15"/>
      <c r="F189" s="15"/>
      <c r="G189" s="15"/>
      <c r="H189" s="16">
        <v>0</v>
      </c>
      <c r="I189" s="16">
        <v>0</v>
      </c>
      <c r="J189" s="14"/>
      <c r="K189" s="14"/>
    </row>
    <row r="190" spans="2:11" s="17" customFormat="1" ht="15" thickBot="1" x14ac:dyDescent="0.35">
      <c r="B190" s="18"/>
      <c r="C190" s="14" t="s">
        <v>14</v>
      </c>
      <c r="D190" s="15"/>
      <c r="E190" s="15"/>
      <c r="F190" s="15"/>
      <c r="G190" s="15"/>
      <c r="H190" s="16">
        <v>0</v>
      </c>
      <c r="I190" s="16">
        <v>0</v>
      </c>
      <c r="J190" s="14"/>
      <c r="K190" s="14"/>
    </row>
    <row r="191" spans="2:11" s="17" customFormat="1" ht="15" thickBot="1" x14ac:dyDescent="0.35">
      <c r="B191" s="18"/>
      <c r="C191" s="14" t="s">
        <v>16</v>
      </c>
      <c r="D191" s="15"/>
      <c r="E191" s="15"/>
      <c r="F191" s="15"/>
      <c r="G191" s="15"/>
      <c r="H191" s="16">
        <v>0</v>
      </c>
      <c r="I191" s="16">
        <v>0</v>
      </c>
      <c r="J191" s="14"/>
      <c r="K191" s="14"/>
    </row>
    <row r="192" spans="2:11" s="23" customFormat="1" ht="15" thickBot="1" x14ac:dyDescent="0.35">
      <c r="B192" s="18"/>
      <c r="C192" s="19" t="s">
        <v>17</v>
      </c>
      <c r="D192" s="20"/>
      <c r="E192" s="20">
        <f>2*31*3850</f>
        <v>238700</v>
      </c>
      <c r="F192" s="20">
        <v>600400</v>
      </c>
      <c r="G192" s="20"/>
      <c r="H192" s="49">
        <v>286983.01</v>
      </c>
      <c r="I192" s="50">
        <v>120763.75</v>
      </c>
      <c r="J192" s="51" t="s">
        <v>29</v>
      </c>
      <c r="K192" s="50">
        <v>120763.75</v>
      </c>
    </row>
    <row r="193" spans="2:11" s="23" customFormat="1" ht="15" thickBot="1" x14ac:dyDescent="0.35">
      <c r="B193" s="18"/>
      <c r="C193" s="19" t="s">
        <v>18</v>
      </c>
      <c r="D193" s="20"/>
      <c r="E193" s="20"/>
      <c r="F193" s="20">
        <v>398200</v>
      </c>
      <c r="G193" s="20"/>
      <c r="H193" s="49">
        <v>80766.820000000007</v>
      </c>
      <c r="I193" s="30">
        <v>0</v>
      </c>
      <c r="J193" s="51" t="s">
        <v>31</v>
      </c>
      <c r="K193" s="50" t="s">
        <v>31</v>
      </c>
    </row>
    <row r="194" spans="2:11" s="23" customFormat="1" ht="40.799999999999997" thickBot="1" x14ac:dyDescent="0.35">
      <c r="B194" s="18"/>
      <c r="C194" s="19" t="s">
        <v>19</v>
      </c>
      <c r="D194" s="20"/>
      <c r="E194" s="20">
        <f>5.5*31*3850</f>
        <v>656425</v>
      </c>
      <c r="F194" s="20"/>
      <c r="G194" s="20"/>
      <c r="H194" s="52">
        <v>174797.71</v>
      </c>
      <c r="I194" s="60">
        <v>79320.259999999995</v>
      </c>
      <c r="J194" s="54" t="s">
        <v>40</v>
      </c>
      <c r="K194" s="55" t="s">
        <v>61</v>
      </c>
    </row>
    <row r="195" spans="2:11" ht="15" thickBot="1" x14ac:dyDescent="0.35">
      <c r="B195" s="18"/>
      <c r="C195" s="56" t="s">
        <v>21</v>
      </c>
      <c r="D195" s="57"/>
      <c r="E195" s="57"/>
      <c r="F195" s="57"/>
      <c r="G195" s="57"/>
      <c r="H195" s="58">
        <v>0</v>
      </c>
      <c r="I195" s="58">
        <v>0</v>
      </c>
      <c r="J195" s="59"/>
      <c r="K195" s="59"/>
    </row>
    <row r="196" spans="2:11" s="17" customFormat="1" ht="15" thickBot="1" x14ac:dyDescent="0.35">
      <c r="B196" s="18"/>
      <c r="C196" s="14" t="s">
        <v>22</v>
      </c>
      <c r="D196" s="15"/>
      <c r="E196" s="15">
        <f>1.1*31*3850</f>
        <v>131285</v>
      </c>
      <c r="F196" s="15">
        <v>279000</v>
      </c>
      <c r="G196" s="15"/>
      <c r="H196" s="16">
        <v>65531.79</v>
      </c>
      <c r="I196" s="16">
        <v>0</v>
      </c>
      <c r="J196" s="14"/>
      <c r="K196" s="14"/>
    </row>
    <row r="197" spans="2:11" s="23" customFormat="1" ht="15" thickBot="1" x14ac:dyDescent="0.35">
      <c r="B197" s="18"/>
      <c r="C197" s="19" t="s">
        <v>23</v>
      </c>
      <c r="D197" s="20"/>
      <c r="E197" s="20">
        <f>0.5*31*3850</f>
        <v>59675</v>
      </c>
      <c r="F197" s="20">
        <v>128400</v>
      </c>
      <c r="G197" s="20"/>
      <c r="H197" s="49">
        <v>113785.53</v>
      </c>
      <c r="I197" s="22">
        <v>0</v>
      </c>
      <c r="J197" s="19"/>
      <c r="K197" s="19"/>
    </row>
    <row r="198" spans="2:11" s="17" customFormat="1" ht="29.4" thickBot="1" x14ac:dyDescent="0.35">
      <c r="B198" s="18"/>
      <c r="C198" s="14" t="s">
        <v>24</v>
      </c>
      <c r="D198" s="15"/>
      <c r="E198" s="15"/>
      <c r="F198" s="15"/>
      <c r="G198" s="15"/>
      <c r="H198" s="16">
        <v>0</v>
      </c>
      <c r="I198" s="16">
        <v>0</v>
      </c>
      <c r="J198" s="14"/>
      <c r="K198" s="14"/>
    </row>
    <row r="199" spans="2:11" ht="15" thickBot="1" x14ac:dyDescent="0.35">
      <c r="B199" s="18"/>
      <c r="C199" s="56" t="s">
        <v>60</v>
      </c>
      <c r="D199" s="57"/>
      <c r="E199" s="57"/>
      <c r="F199" s="57"/>
      <c r="G199" s="57"/>
      <c r="H199" s="58">
        <v>0</v>
      </c>
      <c r="I199" s="58">
        <v>0</v>
      </c>
      <c r="J199" s="59"/>
      <c r="K199" s="59"/>
    </row>
    <row r="200" spans="2:11" ht="15" thickBot="1" x14ac:dyDescent="0.35">
      <c r="B200" s="35"/>
      <c r="C200" s="36" t="s">
        <v>26</v>
      </c>
      <c r="D200" s="37"/>
      <c r="E200" s="37">
        <f>SUM(E188:E199)</f>
        <v>1086085</v>
      </c>
      <c r="F200" s="37">
        <f>SUM(F188:F199)</f>
        <v>1406000</v>
      </c>
      <c r="G200" s="37"/>
      <c r="H200" s="38">
        <f>SUM(H188:H199)</f>
        <v>721864.8600000001</v>
      </c>
      <c r="I200" s="38">
        <f>SUM(I188:I199)</f>
        <v>200084.01</v>
      </c>
      <c r="J200" s="36"/>
      <c r="K200" s="36"/>
    </row>
    <row r="201" spans="2:11" s="17" customFormat="1" ht="15" thickBot="1" x14ac:dyDescent="0.35">
      <c r="B201" s="13">
        <v>45078</v>
      </c>
      <c r="C201" s="14" t="s">
        <v>12</v>
      </c>
      <c r="D201" s="15"/>
      <c r="E201" s="15"/>
      <c r="F201" s="15"/>
      <c r="G201" s="15"/>
      <c r="H201" s="16">
        <v>0</v>
      </c>
      <c r="I201" s="16">
        <v>0</v>
      </c>
      <c r="J201" s="14"/>
      <c r="K201" s="14"/>
    </row>
    <row r="202" spans="2:11" s="17" customFormat="1" ht="15" thickBot="1" x14ac:dyDescent="0.35">
      <c r="B202" s="18"/>
      <c r="C202" s="14" t="s">
        <v>13</v>
      </c>
      <c r="D202" s="15"/>
      <c r="E202" s="15"/>
      <c r="F202" s="15"/>
      <c r="G202" s="15"/>
      <c r="H202" s="16">
        <v>3774.6</v>
      </c>
      <c r="I202" s="16">
        <v>0</v>
      </c>
      <c r="J202" s="14"/>
      <c r="K202" s="14"/>
    </row>
    <row r="203" spans="2:11" s="17" customFormat="1" ht="15" thickBot="1" x14ac:dyDescent="0.35">
      <c r="B203" s="18"/>
      <c r="C203" s="14" t="s">
        <v>14</v>
      </c>
      <c r="D203" s="15"/>
      <c r="E203" s="15">
        <v>40425</v>
      </c>
      <c r="F203" s="15"/>
      <c r="G203" s="15"/>
      <c r="H203" s="16">
        <v>3752.45</v>
      </c>
      <c r="I203" s="16">
        <v>0</v>
      </c>
      <c r="J203" s="14"/>
      <c r="K203" s="14"/>
    </row>
    <row r="204" spans="2:11" s="17" customFormat="1" ht="15" thickBot="1" x14ac:dyDescent="0.35">
      <c r="B204" s="18"/>
      <c r="C204" s="14" t="s">
        <v>16</v>
      </c>
      <c r="D204" s="15"/>
      <c r="E204" s="15"/>
      <c r="F204" s="15"/>
      <c r="G204" s="15"/>
      <c r="H204" s="16">
        <v>61341.48</v>
      </c>
      <c r="I204" s="69">
        <v>0</v>
      </c>
      <c r="J204" s="14"/>
      <c r="K204" s="14"/>
    </row>
    <row r="205" spans="2:11" s="23" customFormat="1" ht="27.6" thickBot="1" x14ac:dyDescent="0.35">
      <c r="B205" s="18"/>
      <c r="C205" s="19" t="s">
        <v>17</v>
      </c>
      <c r="D205" s="20"/>
      <c r="E205" s="20">
        <v>231000</v>
      </c>
      <c r="F205" s="20">
        <v>377000</v>
      </c>
      <c r="G205" s="20"/>
      <c r="H205" s="84">
        <v>290004.3</v>
      </c>
      <c r="I205" s="85">
        <v>30848.5</v>
      </c>
      <c r="J205" s="51" t="s">
        <v>62</v>
      </c>
      <c r="K205" s="86" t="s">
        <v>63</v>
      </c>
    </row>
    <row r="206" spans="2:11" s="23" customFormat="1" ht="15" thickBot="1" x14ac:dyDescent="0.35">
      <c r="B206" s="18"/>
      <c r="C206" s="19" t="s">
        <v>18</v>
      </c>
      <c r="D206" s="20"/>
      <c r="E206" s="20"/>
      <c r="F206" s="20"/>
      <c r="G206" s="20"/>
      <c r="H206" s="84">
        <v>28643.439999999999</v>
      </c>
      <c r="I206" s="72">
        <v>0</v>
      </c>
      <c r="J206" s="51" t="s">
        <v>31</v>
      </c>
      <c r="K206" s="50" t="s">
        <v>31</v>
      </c>
    </row>
    <row r="207" spans="2:11" s="23" customFormat="1" ht="15" thickBot="1" x14ac:dyDescent="0.35">
      <c r="B207" s="18"/>
      <c r="C207" s="19" t="s">
        <v>19</v>
      </c>
      <c r="D207" s="20"/>
      <c r="E207" s="20">
        <v>635250</v>
      </c>
      <c r="F207" s="20">
        <v>256900</v>
      </c>
      <c r="G207" s="20"/>
      <c r="H207" s="87">
        <v>258494.1</v>
      </c>
      <c r="I207" s="60">
        <v>19177.86</v>
      </c>
      <c r="J207" s="88" t="s">
        <v>32</v>
      </c>
      <c r="K207" s="55" t="s">
        <v>64</v>
      </c>
    </row>
    <row r="208" spans="2:11" ht="15" thickBot="1" x14ac:dyDescent="0.35">
      <c r="B208" s="18"/>
      <c r="C208" s="56" t="s">
        <v>21</v>
      </c>
      <c r="D208" s="57"/>
      <c r="E208" s="57"/>
      <c r="F208" s="57"/>
      <c r="G208" s="57"/>
      <c r="H208" s="58">
        <v>0</v>
      </c>
      <c r="I208" s="58">
        <v>0</v>
      </c>
      <c r="J208" s="59"/>
      <c r="K208" s="59"/>
    </row>
    <row r="209" spans="2:11" s="17" customFormat="1" ht="15" thickBot="1" x14ac:dyDescent="0.35">
      <c r="B209" s="18"/>
      <c r="C209" s="14" t="s">
        <v>22</v>
      </c>
      <c r="D209" s="15"/>
      <c r="E209" s="15">
        <v>86625</v>
      </c>
      <c r="F209" s="15">
        <v>270000</v>
      </c>
      <c r="G209" s="15"/>
      <c r="H209" s="16">
        <v>66578.05</v>
      </c>
      <c r="I209" s="16">
        <v>0</v>
      </c>
      <c r="J209" s="14"/>
      <c r="K209" s="14"/>
    </row>
    <row r="210" spans="2:11" s="23" customFormat="1" ht="15" thickBot="1" x14ac:dyDescent="0.35">
      <c r="B210" s="18"/>
      <c r="C210" s="19" t="s">
        <v>23</v>
      </c>
      <c r="D210" s="20"/>
      <c r="E210" s="20">
        <v>173250</v>
      </c>
      <c r="F210" s="20">
        <v>82800</v>
      </c>
      <c r="G210" s="20"/>
      <c r="H210" s="89">
        <v>81722.91</v>
      </c>
      <c r="I210" s="22">
        <v>0</v>
      </c>
      <c r="J210" s="19"/>
      <c r="K210" s="19"/>
    </row>
    <row r="211" spans="2:11" s="17" customFormat="1" ht="29.4" thickBot="1" x14ac:dyDescent="0.35">
      <c r="B211" s="18"/>
      <c r="C211" s="14" t="s">
        <v>24</v>
      </c>
      <c r="D211" s="15"/>
      <c r="E211" s="15"/>
      <c r="F211" s="15"/>
      <c r="G211" s="15"/>
      <c r="H211" s="16">
        <v>0</v>
      </c>
      <c r="I211" s="16">
        <v>0</v>
      </c>
      <c r="J211" s="14"/>
      <c r="K211" s="14"/>
    </row>
    <row r="212" spans="2:11" ht="15" thickBot="1" x14ac:dyDescent="0.35">
      <c r="B212" s="18"/>
      <c r="C212" s="56" t="s">
        <v>60</v>
      </c>
      <c r="D212" s="57"/>
      <c r="E212" s="57"/>
      <c r="F212" s="57"/>
      <c r="G212" s="57"/>
      <c r="H212" s="58">
        <v>0</v>
      </c>
      <c r="I212" s="58">
        <v>0</v>
      </c>
      <c r="J212" s="59"/>
      <c r="K212" s="59"/>
    </row>
    <row r="213" spans="2:11" ht="15" thickBot="1" x14ac:dyDescent="0.35">
      <c r="B213" s="35"/>
      <c r="C213" s="11" t="s">
        <v>26</v>
      </c>
      <c r="D213" s="90"/>
      <c r="E213" s="90">
        <f>SUM(E201:E212)</f>
        <v>1166550</v>
      </c>
      <c r="F213" s="90">
        <f>SUM(F201:F212)</f>
        <v>986700</v>
      </c>
      <c r="G213" s="90"/>
      <c r="H213" s="65">
        <f>SUM(H201:H212)</f>
        <v>794311.33000000007</v>
      </c>
      <c r="I213" s="65">
        <f>SUM(I201:I212)</f>
        <v>50026.36</v>
      </c>
      <c r="J213" s="59"/>
      <c r="K213" s="59"/>
    </row>
    <row r="214" spans="2:11" s="17" customFormat="1" ht="15" thickBot="1" x14ac:dyDescent="0.35">
      <c r="B214" s="13">
        <v>45108</v>
      </c>
      <c r="C214" s="14" t="s">
        <v>12</v>
      </c>
      <c r="D214" s="15"/>
      <c r="E214" s="15"/>
      <c r="F214" s="15"/>
      <c r="G214" s="15"/>
      <c r="H214" s="16">
        <v>3866.31</v>
      </c>
      <c r="I214" s="16">
        <v>0</v>
      </c>
      <c r="J214" s="14"/>
      <c r="K214" s="14"/>
    </row>
    <row r="215" spans="2:11" s="17" customFormat="1" ht="15" thickBot="1" x14ac:dyDescent="0.35">
      <c r="B215" s="18"/>
      <c r="C215" s="14" t="s">
        <v>13</v>
      </c>
      <c r="D215" s="15"/>
      <c r="E215" s="15"/>
      <c r="F215" s="15"/>
      <c r="G215" s="15"/>
      <c r="H215" s="16">
        <v>0</v>
      </c>
      <c r="I215" s="16">
        <v>0</v>
      </c>
      <c r="J215" s="14"/>
      <c r="K215" s="14"/>
    </row>
    <row r="216" spans="2:11" s="17" customFormat="1" ht="15" thickBot="1" x14ac:dyDescent="0.35">
      <c r="B216" s="18"/>
      <c r="C216" s="14" t="s">
        <v>14</v>
      </c>
      <c r="D216" s="15"/>
      <c r="E216" s="15"/>
      <c r="F216" s="15"/>
      <c r="G216" s="15"/>
      <c r="H216" s="16">
        <v>0</v>
      </c>
      <c r="I216" s="16">
        <v>0</v>
      </c>
      <c r="J216" s="14"/>
      <c r="K216" s="14"/>
    </row>
    <row r="217" spans="2:11" s="17" customFormat="1" ht="15" thickBot="1" x14ac:dyDescent="0.35">
      <c r="B217" s="18"/>
      <c r="C217" s="14" t="s">
        <v>16</v>
      </c>
      <c r="D217" s="15"/>
      <c r="E217" s="15"/>
      <c r="F217" s="15"/>
      <c r="G217" s="15"/>
      <c r="H217" s="16">
        <v>91708.57</v>
      </c>
      <c r="I217" s="16">
        <v>0</v>
      </c>
      <c r="J217" s="14"/>
      <c r="K217" s="14"/>
    </row>
    <row r="218" spans="2:11" s="23" customFormat="1" ht="15" thickBot="1" x14ac:dyDescent="0.35">
      <c r="B218" s="18"/>
      <c r="C218" s="19" t="s">
        <v>17</v>
      </c>
      <c r="D218" s="20"/>
      <c r="E218" s="20">
        <v>238700</v>
      </c>
      <c r="F218" s="20">
        <v>324400</v>
      </c>
      <c r="G218" s="20"/>
      <c r="H218" s="49">
        <v>312586.40000000002</v>
      </c>
      <c r="I218" s="50">
        <v>18238.05</v>
      </c>
      <c r="J218" s="51" t="s">
        <v>65</v>
      </c>
      <c r="K218" s="50">
        <v>18238.05</v>
      </c>
    </row>
    <row r="219" spans="2:11" s="23" customFormat="1" ht="15" thickBot="1" x14ac:dyDescent="0.35">
      <c r="B219" s="18"/>
      <c r="C219" s="19" t="s">
        <v>18</v>
      </c>
      <c r="D219" s="20"/>
      <c r="E219" s="20"/>
      <c r="F219" s="20"/>
      <c r="G219" s="20"/>
      <c r="H219" s="49">
        <v>40274.160000000003</v>
      </c>
      <c r="I219" s="30">
        <v>0</v>
      </c>
      <c r="J219" s="51" t="s">
        <v>31</v>
      </c>
      <c r="K219" s="50">
        <v>0</v>
      </c>
    </row>
    <row r="220" spans="2:11" s="23" customFormat="1" ht="15" thickBot="1" x14ac:dyDescent="0.35">
      <c r="B220" s="18"/>
      <c r="C220" s="19" t="s">
        <v>19</v>
      </c>
      <c r="D220" s="20"/>
      <c r="E220" s="20">
        <v>477400</v>
      </c>
      <c r="F220" s="20">
        <v>275900</v>
      </c>
      <c r="G220" s="20"/>
      <c r="H220" s="91">
        <v>120933.9</v>
      </c>
      <c r="I220" s="60">
        <v>24850.400000000001</v>
      </c>
      <c r="J220" s="54" t="s">
        <v>32</v>
      </c>
      <c r="K220" s="55" t="s">
        <v>66</v>
      </c>
    </row>
    <row r="221" spans="2:11" ht="15" thickBot="1" x14ac:dyDescent="0.35">
      <c r="B221" s="18"/>
      <c r="C221" s="56" t="s">
        <v>21</v>
      </c>
      <c r="D221" s="57"/>
      <c r="E221" s="57"/>
      <c r="F221" s="57"/>
      <c r="G221" s="92"/>
      <c r="H221" s="93">
        <v>0</v>
      </c>
      <c r="I221" s="58">
        <v>0</v>
      </c>
      <c r="J221" s="59"/>
      <c r="K221" s="59"/>
    </row>
    <row r="222" spans="2:11" s="17" customFormat="1" ht="15" thickBot="1" x14ac:dyDescent="0.35">
      <c r="B222" s="18"/>
      <c r="C222" s="14" t="s">
        <v>22</v>
      </c>
      <c r="D222" s="15"/>
      <c r="E222" s="15">
        <v>110000</v>
      </c>
      <c r="F222" s="15">
        <v>279000</v>
      </c>
      <c r="G222" s="94"/>
      <c r="H222" s="95">
        <v>53814.16</v>
      </c>
      <c r="I222" s="16">
        <v>0</v>
      </c>
      <c r="J222" s="14"/>
      <c r="K222" s="14"/>
    </row>
    <row r="223" spans="2:11" s="23" customFormat="1" ht="15" thickBot="1" x14ac:dyDescent="0.35">
      <c r="B223" s="18"/>
      <c r="C223" s="19" t="s">
        <v>23</v>
      </c>
      <c r="D223" s="20"/>
      <c r="E223" s="20">
        <v>179025</v>
      </c>
      <c r="F223" s="20">
        <v>186800</v>
      </c>
      <c r="G223" s="96"/>
      <c r="H223" s="97">
        <v>88181.96</v>
      </c>
      <c r="I223" s="22">
        <v>0</v>
      </c>
      <c r="J223" s="19"/>
      <c r="K223" s="19"/>
    </row>
    <row r="224" spans="2:11" s="17" customFormat="1" ht="29.4" thickBot="1" x14ac:dyDescent="0.35">
      <c r="B224" s="18"/>
      <c r="C224" s="14" t="s">
        <v>24</v>
      </c>
      <c r="D224" s="15"/>
      <c r="E224" s="15"/>
      <c r="F224" s="15"/>
      <c r="G224" s="15"/>
      <c r="H224" s="16">
        <v>0</v>
      </c>
      <c r="I224" s="16">
        <v>0</v>
      </c>
      <c r="J224" s="14"/>
      <c r="K224" s="14"/>
    </row>
    <row r="225" spans="2:11" ht="15" thickBot="1" x14ac:dyDescent="0.35">
      <c r="B225" s="18"/>
      <c r="C225" s="56" t="s">
        <v>60</v>
      </c>
      <c r="D225" s="57"/>
      <c r="E225" s="57"/>
      <c r="F225" s="57"/>
      <c r="G225" s="57"/>
      <c r="H225" s="58">
        <v>0</v>
      </c>
      <c r="I225" s="58">
        <v>0</v>
      </c>
      <c r="J225" s="59"/>
      <c r="K225" s="59"/>
    </row>
    <row r="226" spans="2:11" ht="15" thickBot="1" x14ac:dyDescent="0.35">
      <c r="B226" s="35"/>
      <c r="C226" s="11" t="s">
        <v>26</v>
      </c>
      <c r="D226" s="57"/>
      <c r="E226" s="57">
        <f>SUM(E214:E225)</f>
        <v>1005125</v>
      </c>
      <c r="F226" s="57">
        <f>SUM(F214:F225)</f>
        <v>1066100</v>
      </c>
      <c r="G226" s="57"/>
      <c r="H226" s="65">
        <f>SUM(H214:H225)</f>
        <v>711365.46000000008</v>
      </c>
      <c r="I226" s="65">
        <f>SUM(I214:I225)</f>
        <v>43088.45</v>
      </c>
      <c r="J226" s="59"/>
      <c r="K226" s="59"/>
    </row>
    <row r="227" spans="2:11" s="17" customFormat="1" ht="15" thickBot="1" x14ac:dyDescent="0.35">
      <c r="B227" s="13">
        <v>45139</v>
      </c>
      <c r="C227" s="14" t="s">
        <v>12</v>
      </c>
      <c r="D227" s="15"/>
      <c r="E227" s="15"/>
      <c r="F227" s="15"/>
      <c r="G227" s="15"/>
      <c r="H227" s="16">
        <v>0</v>
      </c>
      <c r="I227" s="16">
        <v>0</v>
      </c>
      <c r="J227" s="14"/>
      <c r="K227" s="14"/>
    </row>
    <row r="228" spans="2:11" s="17" customFormat="1" ht="15" thickBot="1" x14ac:dyDescent="0.35">
      <c r="B228" s="18"/>
      <c r="C228" s="14" t="s">
        <v>13</v>
      </c>
      <c r="D228" s="15"/>
      <c r="E228" s="15"/>
      <c r="F228" s="15"/>
      <c r="G228" s="15"/>
      <c r="H228" s="16">
        <v>0</v>
      </c>
      <c r="I228" s="16">
        <v>0</v>
      </c>
      <c r="J228" s="14"/>
      <c r="K228" s="14"/>
    </row>
    <row r="229" spans="2:11" s="17" customFormat="1" ht="15" thickBot="1" x14ac:dyDescent="0.35">
      <c r="B229" s="18"/>
      <c r="C229" s="14" t="s">
        <v>14</v>
      </c>
      <c r="D229" s="15"/>
      <c r="E229" s="15"/>
      <c r="F229" s="15"/>
      <c r="G229" s="15"/>
      <c r="H229" s="16">
        <v>0</v>
      </c>
      <c r="I229" s="16">
        <v>0</v>
      </c>
      <c r="J229" s="14"/>
      <c r="K229" s="14"/>
    </row>
    <row r="230" spans="2:11" s="17" customFormat="1" ht="15" thickBot="1" x14ac:dyDescent="0.35">
      <c r="B230" s="18"/>
      <c r="C230" s="14" t="s">
        <v>16</v>
      </c>
      <c r="D230" s="15"/>
      <c r="E230" s="15"/>
      <c r="F230" s="15">
        <v>238700</v>
      </c>
      <c r="G230" s="15"/>
      <c r="H230" s="16">
        <v>4088.89</v>
      </c>
      <c r="I230" s="16">
        <v>0</v>
      </c>
      <c r="J230" s="14"/>
      <c r="K230" s="14"/>
    </row>
    <row r="231" spans="2:11" s="23" customFormat="1" ht="15" thickBot="1" x14ac:dyDescent="0.35">
      <c r="B231" s="18"/>
      <c r="C231" s="19" t="s">
        <v>17</v>
      </c>
      <c r="D231" s="20"/>
      <c r="E231" s="20">
        <v>238700</v>
      </c>
      <c r="F231" s="20">
        <v>76000</v>
      </c>
      <c r="G231" s="20"/>
      <c r="H231" s="98">
        <v>272912.8</v>
      </c>
      <c r="I231" s="22">
        <v>0</v>
      </c>
      <c r="J231" s="19"/>
      <c r="K231" s="19"/>
    </row>
    <row r="232" spans="2:11" s="23" customFormat="1" ht="15" thickBot="1" x14ac:dyDescent="0.35">
      <c r="B232" s="18"/>
      <c r="C232" s="19" t="s">
        <v>18</v>
      </c>
      <c r="D232" s="20"/>
      <c r="E232" s="20"/>
      <c r="F232" s="20"/>
      <c r="G232" s="20"/>
      <c r="H232" s="98">
        <v>59386.720000000001</v>
      </c>
      <c r="I232" s="22">
        <v>0</v>
      </c>
      <c r="J232" s="19"/>
      <c r="K232" s="19"/>
    </row>
    <row r="233" spans="2:11" s="23" customFormat="1" ht="15" thickBot="1" x14ac:dyDescent="0.35">
      <c r="B233" s="18"/>
      <c r="C233" s="19" t="s">
        <v>19</v>
      </c>
      <c r="D233" s="20"/>
      <c r="E233" s="20">
        <v>477400</v>
      </c>
      <c r="F233" s="20">
        <v>185300</v>
      </c>
      <c r="G233" s="20"/>
      <c r="H233" s="99">
        <v>206822.6</v>
      </c>
      <c r="I233" s="22">
        <v>0</v>
      </c>
      <c r="J233" s="19"/>
      <c r="K233" s="19"/>
    </row>
    <row r="234" spans="2:11" ht="15" thickBot="1" x14ac:dyDescent="0.35">
      <c r="B234" s="18"/>
      <c r="C234" s="56" t="s">
        <v>21</v>
      </c>
      <c r="D234" s="57"/>
      <c r="E234" s="57"/>
      <c r="F234" s="57"/>
      <c r="G234" s="57"/>
      <c r="H234" s="58">
        <v>0</v>
      </c>
      <c r="I234" s="58">
        <v>0</v>
      </c>
      <c r="J234" s="59"/>
      <c r="K234" s="59"/>
    </row>
    <row r="235" spans="2:11" s="17" customFormat="1" ht="15" thickBot="1" x14ac:dyDescent="0.35">
      <c r="B235" s="18"/>
      <c r="C235" s="14" t="s">
        <v>22</v>
      </c>
      <c r="D235" s="15"/>
      <c r="E235" s="15">
        <v>110000</v>
      </c>
      <c r="F235" s="15">
        <v>279000</v>
      </c>
      <c r="G235" s="15"/>
      <c r="H235" s="16">
        <v>68489.929999999993</v>
      </c>
      <c r="I235" s="16">
        <v>0</v>
      </c>
      <c r="J235" s="14"/>
      <c r="K235" s="14"/>
    </row>
    <row r="236" spans="2:11" s="23" customFormat="1" ht="15" thickBot="1" x14ac:dyDescent="0.35">
      <c r="B236" s="18"/>
      <c r="C236" s="19" t="s">
        <v>23</v>
      </c>
      <c r="D236" s="20"/>
      <c r="E236" s="20">
        <v>179025</v>
      </c>
      <c r="F236" s="20">
        <v>47000</v>
      </c>
      <c r="G236" s="20"/>
      <c r="H236" s="21">
        <v>85813.75</v>
      </c>
      <c r="I236" s="22">
        <v>0</v>
      </c>
      <c r="J236" s="19"/>
      <c r="K236" s="19"/>
    </row>
    <row r="237" spans="2:11" s="17" customFormat="1" ht="29.4" thickBot="1" x14ac:dyDescent="0.35">
      <c r="B237" s="18"/>
      <c r="C237" s="14" t="s">
        <v>24</v>
      </c>
      <c r="D237" s="15"/>
      <c r="E237" s="15"/>
      <c r="F237" s="15"/>
      <c r="G237" s="15"/>
      <c r="H237" s="16">
        <v>0</v>
      </c>
      <c r="I237" s="16">
        <v>0</v>
      </c>
      <c r="J237" s="14"/>
      <c r="K237" s="14"/>
    </row>
    <row r="238" spans="2:11" ht="15" thickBot="1" x14ac:dyDescent="0.35">
      <c r="B238" s="18"/>
      <c r="C238" s="56" t="s">
        <v>60</v>
      </c>
      <c r="D238" s="57"/>
      <c r="E238" s="57"/>
      <c r="F238" s="57"/>
      <c r="G238" s="57"/>
      <c r="H238" s="58">
        <v>0</v>
      </c>
      <c r="I238" s="58">
        <v>0</v>
      </c>
      <c r="J238" s="59"/>
      <c r="K238" s="59"/>
    </row>
    <row r="239" spans="2:11" ht="15" thickBot="1" x14ac:dyDescent="0.35">
      <c r="B239" s="35"/>
      <c r="C239" s="11" t="s">
        <v>26</v>
      </c>
      <c r="D239" s="57"/>
      <c r="E239" s="57">
        <f>SUM(E227:E238)</f>
        <v>1005125</v>
      </c>
      <c r="F239" s="57">
        <f>SUM(F227:F238)</f>
        <v>826000</v>
      </c>
      <c r="G239" s="57"/>
      <c r="H239" s="65">
        <f>SUM(H227:H238)</f>
        <v>697514.69</v>
      </c>
      <c r="I239" s="65">
        <f>SUM(I227:I238)</f>
        <v>0</v>
      </c>
      <c r="J239" s="59"/>
      <c r="K239" s="59"/>
    </row>
    <row r="240" spans="2:11" s="17" customFormat="1" ht="15" thickBot="1" x14ac:dyDescent="0.35">
      <c r="B240" s="13">
        <v>45170</v>
      </c>
      <c r="C240" s="14" t="s">
        <v>12</v>
      </c>
      <c r="D240" s="15"/>
      <c r="E240" s="15"/>
      <c r="F240" s="15"/>
      <c r="G240" s="15"/>
      <c r="H240" s="16">
        <v>0</v>
      </c>
      <c r="I240" s="16">
        <v>0</v>
      </c>
      <c r="J240" s="14"/>
      <c r="K240" s="14"/>
    </row>
    <row r="241" spans="2:11" s="17" customFormat="1" ht="15" thickBot="1" x14ac:dyDescent="0.35">
      <c r="B241" s="18"/>
      <c r="C241" s="14" t="s">
        <v>13</v>
      </c>
      <c r="D241" s="15"/>
      <c r="E241" s="15"/>
      <c r="F241" s="15"/>
      <c r="G241" s="15"/>
      <c r="H241" s="16">
        <v>0</v>
      </c>
      <c r="I241" s="16">
        <v>0</v>
      </c>
      <c r="J241" s="14"/>
      <c r="K241" s="14"/>
    </row>
    <row r="242" spans="2:11" s="17" customFormat="1" ht="15" thickBot="1" x14ac:dyDescent="0.35">
      <c r="B242" s="18"/>
      <c r="C242" s="14" t="s">
        <v>14</v>
      </c>
      <c r="D242" s="15"/>
      <c r="E242" s="15"/>
      <c r="F242" s="15"/>
      <c r="G242" s="15"/>
      <c r="H242" s="16">
        <v>0</v>
      </c>
      <c r="I242" s="16">
        <v>0</v>
      </c>
      <c r="J242" s="14"/>
      <c r="K242" s="14"/>
    </row>
    <row r="243" spans="2:11" s="17" customFormat="1" ht="15" thickBot="1" x14ac:dyDescent="0.35">
      <c r="B243" s="18"/>
      <c r="C243" s="14" t="s">
        <v>16</v>
      </c>
      <c r="D243" s="15"/>
      <c r="E243" s="15"/>
      <c r="F243" s="15"/>
      <c r="G243" s="15"/>
      <c r="H243" s="16">
        <v>636.79999999999995</v>
      </c>
      <c r="I243" s="62">
        <v>4041.35</v>
      </c>
      <c r="J243" s="14" t="s">
        <v>67</v>
      </c>
      <c r="K243" s="62">
        <v>4041.35</v>
      </c>
    </row>
    <row r="244" spans="2:11" s="23" customFormat="1" ht="15" thickBot="1" x14ac:dyDescent="0.35">
      <c r="B244" s="18"/>
      <c r="C244" s="19" t="s">
        <v>17</v>
      </c>
      <c r="D244" s="20"/>
      <c r="E244" s="20">
        <v>231000</v>
      </c>
      <c r="F244" s="20">
        <v>301000</v>
      </c>
      <c r="G244" s="20"/>
      <c r="H244" s="49">
        <v>241199.46</v>
      </c>
      <c r="I244" s="22">
        <v>0</v>
      </c>
      <c r="J244" s="19"/>
      <c r="K244" s="19"/>
    </row>
    <row r="245" spans="2:11" s="23" customFormat="1" ht="15" thickBot="1" x14ac:dyDescent="0.35">
      <c r="B245" s="18"/>
      <c r="C245" s="19" t="s">
        <v>18</v>
      </c>
      <c r="D245" s="20"/>
      <c r="E245" s="20"/>
      <c r="F245" s="20"/>
      <c r="G245" s="20"/>
      <c r="H245" s="49">
        <v>101486.13</v>
      </c>
      <c r="I245" s="22">
        <v>0</v>
      </c>
      <c r="J245" s="19"/>
      <c r="K245" s="19"/>
    </row>
    <row r="246" spans="2:11" s="23" customFormat="1" ht="15" thickBot="1" x14ac:dyDescent="0.35">
      <c r="B246" s="18"/>
      <c r="C246" s="19" t="s">
        <v>19</v>
      </c>
      <c r="D246" s="20"/>
      <c r="E246" s="20">
        <v>462000</v>
      </c>
      <c r="F246" s="20">
        <v>119900</v>
      </c>
      <c r="G246" s="20"/>
      <c r="H246" s="52">
        <v>150298.10999999999</v>
      </c>
      <c r="I246" s="22">
        <v>0</v>
      </c>
      <c r="J246" s="19"/>
      <c r="K246" s="19"/>
    </row>
    <row r="247" spans="2:11" ht="15" thickBot="1" x14ac:dyDescent="0.35">
      <c r="B247" s="18"/>
      <c r="C247" s="56" t="s">
        <v>21</v>
      </c>
      <c r="D247" s="57"/>
      <c r="E247" s="57"/>
      <c r="F247" s="57"/>
      <c r="G247" s="57"/>
      <c r="H247" s="58">
        <v>0</v>
      </c>
      <c r="I247" s="58">
        <v>0</v>
      </c>
      <c r="J247" s="59"/>
      <c r="K247" s="59"/>
    </row>
    <row r="248" spans="2:11" s="17" customFormat="1" ht="15" thickBot="1" x14ac:dyDescent="0.35">
      <c r="B248" s="18"/>
      <c r="C248" s="14" t="s">
        <v>22</v>
      </c>
      <c r="D248" s="15"/>
      <c r="E248" s="15">
        <v>110000</v>
      </c>
      <c r="F248" s="15">
        <v>270000</v>
      </c>
      <c r="G248" s="15"/>
      <c r="H248" s="16">
        <v>50967.12</v>
      </c>
      <c r="I248" s="16">
        <v>0</v>
      </c>
      <c r="J248" s="14"/>
      <c r="K248" s="14"/>
    </row>
    <row r="249" spans="2:11" s="23" customFormat="1" ht="15" thickBot="1" x14ac:dyDescent="0.35">
      <c r="B249" s="18"/>
      <c r="C249" s="19" t="s">
        <v>23</v>
      </c>
      <c r="D249" s="20"/>
      <c r="E249" s="20">
        <v>173250</v>
      </c>
      <c r="F249" s="20">
        <v>93300</v>
      </c>
      <c r="G249" s="20"/>
      <c r="H249" s="49">
        <v>82713.61</v>
      </c>
      <c r="I249" s="22">
        <v>0</v>
      </c>
      <c r="J249" s="19"/>
      <c r="K249" s="19"/>
    </row>
    <row r="250" spans="2:11" s="17" customFormat="1" ht="29.4" thickBot="1" x14ac:dyDescent="0.35">
      <c r="B250" s="18"/>
      <c r="C250" s="14" t="s">
        <v>24</v>
      </c>
      <c r="D250" s="15"/>
      <c r="E250" s="15"/>
      <c r="F250" s="15"/>
      <c r="G250" s="15"/>
      <c r="H250" s="16">
        <v>0</v>
      </c>
      <c r="I250" s="16">
        <v>0</v>
      </c>
      <c r="J250" s="14"/>
      <c r="K250" s="14"/>
    </row>
    <row r="251" spans="2:11" ht="15" thickBot="1" x14ac:dyDescent="0.35">
      <c r="B251" s="18"/>
      <c r="C251" s="56" t="s">
        <v>60</v>
      </c>
      <c r="D251" s="57"/>
      <c r="E251" s="57"/>
      <c r="F251" s="57"/>
      <c r="G251" s="57"/>
      <c r="H251" s="58">
        <v>0</v>
      </c>
      <c r="I251" s="58">
        <v>0</v>
      </c>
      <c r="J251" s="59"/>
      <c r="K251" s="59"/>
    </row>
    <row r="252" spans="2:11" ht="15" thickBot="1" x14ac:dyDescent="0.35">
      <c r="B252" s="35"/>
      <c r="C252" s="11" t="s">
        <v>26</v>
      </c>
      <c r="D252" s="57"/>
      <c r="E252" s="57">
        <f>SUM(E240:E251)</f>
        <v>976250</v>
      </c>
      <c r="F252" s="57">
        <f>SUM(F240:F251)</f>
        <v>784200</v>
      </c>
      <c r="G252" s="57"/>
      <c r="H252" s="65">
        <f>SUM(H240:H251)</f>
        <v>627301.23</v>
      </c>
      <c r="I252" s="65">
        <f>SUM(I240:I251)</f>
        <v>4041.35</v>
      </c>
      <c r="J252" s="59"/>
      <c r="K252" s="59"/>
    </row>
    <row r="253" spans="2:11" s="17" customFormat="1" ht="15" thickBot="1" x14ac:dyDescent="0.35">
      <c r="B253" s="13">
        <v>45200</v>
      </c>
      <c r="C253" s="14" t="s">
        <v>12</v>
      </c>
      <c r="D253" s="15"/>
      <c r="E253" s="15"/>
      <c r="F253" s="15"/>
      <c r="G253" s="15"/>
      <c r="H253" s="16">
        <v>0</v>
      </c>
      <c r="I253" s="16">
        <v>0</v>
      </c>
      <c r="J253" s="14"/>
      <c r="K253" s="14"/>
    </row>
    <row r="254" spans="2:11" s="17" customFormat="1" ht="15" thickBot="1" x14ac:dyDescent="0.35">
      <c r="B254" s="18"/>
      <c r="C254" s="14" t="s">
        <v>13</v>
      </c>
      <c r="D254" s="15"/>
      <c r="E254" s="15"/>
      <c r="F254" s="15"/>
      <c r="G254" s="15"/>
      <c r="H254" s="16">
        <v>0</v>
      </c>
      <c r="I254" s="16">
        <v>0</v>
      </c>
      <c r="J254" s="14"/>
      <c r="K254" s="14"/>
    </row>
    <row r="255" spans="2:11" s="17" customFormat="1" ht="15" thickBot="1" x14ac:dyDescent="0.35">
      <c r="B255" s="18"/>
      <c r="C255" s="14" t="s">
        <v>14</v>
      </c>
      <c r="D255" s="15"/>
      <c r="E255" s="15"/>
      <c r="F255" s="15"/>
      <c r="G255" s="15"/>
      <c r="H255" s="16">
        <v>0</v>
      </c>
      <c r="I255" s="16">
        <v>0</v>
      </c>
      <c r="J255" s="14"/>
      <c r="K255" s="14"/>
    </row>
    <row r="256" spans="2:11" s="17" customFormat="1" ht="15" thickBot="1" x14ac:dyDescent="0.35">
      <c r="B256" s="18"/>
      <c r="C256" s="14" t="s">
        <v>16</v>
      </c>
      <c r="D256" s="15"/>
      <c r="E256" s="15"/>
      <c r="F256" s="15"/>
      <c r="G256" s="15"/>
      <c r="H256" s="16">
        <v>0</v>
      </c>
      <c r="I256" s="16">
        <v>0</v>
      </c>
      <c r="J256" s="14"/>
      <c r="K256" s="14"/>
    </row>
    <row r="257" spans="2:14" s="23" customFormat="1" ht="15" thickBot="1" x14ac:dyDescent="0.35">
      <c r="B257" s="18"/>
      <c r="C257" s="19" t="s">
        <v>17</v>
      </c>
      <c r="D257" s="20"/>
      <c r="E257" s="20">
        <v>238700</v>
      </c>
      <c r="F257" s="20">
        <v>584600</v>
      </c>
      <c r="G257" s="20"/>
      <c r="H257" s="49">
        <v>434926.84</v>
      </c>
      <c r="I257" s="22">
        <v>0</v>
      </c>
      <c r="J257" s="19"/>
      <c r="K257" s="19"/>
    </row>
    <row r="258" spans="2:14" s="23" customFormat="1" ht="15" thickBot="1" x14ac:dyDescent="0.35">
      <c r="B258" s="18"/>
      <c r="C258" s="19" t="s">
        <v>18</v>
      </c>
      <c r="D258" s="20"/>
      <c r="E258" s="20"/>
      <c r="F258" s="20"/>
      <c r="G258" s="20"/>
      <c r="H258" s="49">
        <v>84007.29</v>
      </c>
      <c r="I258" s="22">
        <v>0</v>
      </c>
      <c r="J258" s="19"/>
      <c r="K258" s="19"/>
    </row>
    <row r="259" spans="2:14" s="23" customFormat="1" ht="15" thickBot="1" x14ac:dyDescent="0.35">
      <c r="B259" s="18"/>
      <c r="C259" s="19" t="s">
        <v>19</v>
      </c>
      <c r="D259" s="20"/>
      <c r="E259" s="20">
        <v>716100</v>
      </c>
      <c r="F259" s="20">
        <v>240900</v>
      </c>
      <c r="G259" s="20"/>
      <c r="H259" s="52">
        <v>170446.88</v>
      </c>
      <c r="I259" s="22">
        <v>0</v>
      </c>
      <c r="J259" s="19"/>
      <c r="K259" s="19"/>
    </row>
    <row r="260" spans="2:14" ht="15" thickBot="1" x14ac:dyDescent="0.35">
      <c r="B260" s="18"/>
      <c r="C260" s="56" t="s">
        <v>21</v>
      </c>
      <c r="D260" s="57"/>
      <c r="E260" s="57"/>
      <c r="F260" s="57"/>
      <c r="G260" s="57"/>
      <c r="H260" s="58">
        <v>0</v>
      </c>
      <c r="I260" s="58">
        <v>0</v>
      </c>
      <c r="J260" s="59"/>
      <c r="K260" s="59"/>
    </row>
    <row r="261" spans="2:14" s="17" customFormat="1" ht="15" thickBot="1" x14ac:dyDescent="0.35">
      <c r="B261" s="18"/>
      <c r="C261" s="14" t="s">
        <v>22</v>
      </c>
      <c r="D261" s="15"/>
      <c r="E261" s="15">
        <v>110000</v>
      </c>
      <c r="F261" s="15">
        <v>279000</v>
      </c>
      <c r="G261" s="15"/>
      <c r="H261" s="16">
        <v>69873.5</v>
      </c>
      <c r="I261" s="16">
        <v>0</v>
      </c>
      <c r="J261" s="14"/>
      <c r="K261" s="14"/>
    </row>
    <row r="262" spans="2:14" s="23" customFormat="1" ht="15" thickBot="1" x14ac:dyDescent="0.35">
      <c r="B262" s="18"/>
      <c r="C262" s="19" t="s">
        <v>23</v>
      </c>
      <c r="D262" s="20"/>
      <c r="E262" s="20">
        <v>179025</v>
      </c>
      <c r="F262" s="20">
        <v>162300</v>
      </c>
      <c r="G262" s="20"/>
      <c r="H262" s="49">
        <v>158152.07999999999</v>
      </c>
      <c r="I262" s="22">
        <v>0</v>
      </c>
      <c r="J262" s="19"/>
      <c r="K262" s="19"/>
    </row>
    <row r="263" spans="2:14" s="17" customFormat="1" ht="29.4" thickBot="1" x14ac:dyDescent="0.35">
      <c r="B263" s="18"/>
      <c r="C263" s="14" t="s">
        <v>24</v>
      </c>
      <c r="D263" s="15"/>
      <c r="E263" s="15"/>
      <c r="F263" s="15"/>
      <c r="G263" s="15"/>
      <c r="H263" s="16">
        <v>0</v>
      </c>
      <c r="I263" s="16">
        <v>0</v>
      </c>
      <c r="J263" s="14"/>
      <c r="K263" s="14"/>
    </row>
    <row r="264" spans="2:14" ht="15" thickBot="1" x14ac:dyDescent="0.35">
      <c r="B264" s="18"/>
      <c r="C264" s="56" t="s">
        <v>60</v>
      </c>
      <c r="D264" s="57"/>
      <c r="E264" s="57"/>
      <c r="F264" s="57"/>
      <c r="G264" s="57"/>
      <c r="H264" s="58">
        <v>0</v>
      </c>
      <c r="I264" s="58">
        <v>0</v>
      </c>
      <c r="J264" s="59"/>
      <c r="K264" s="59"/>
    </row>
    <row r="265" spans="2:14" ht="15" thickBot="1" x14ac:dyDescent="0.35">
      <c r="B265" s="35"/>
      <c r="C265" s="11" t="s">
        <v>26</v>
      </c>
      <c r="D265" s="57"/>
      <c r="E265" s="57">
        <f>SUM(E253:E264)</f>
        <v>1243825</v>
      </c>
      <c r="F265" s="57">
        <f>SUM(F253:F264)</f>
        <v>1266800</v>
      </c>
      <c r="G265" s="57"/>
      <c r="H265" s="65">
        <f>SUM(H253:H264)</f>
        <v>917406.59</v>
      </c>
      <c r="I265" s="65">
        <f>SUM(I253:I264)</f>
        <v>0</v>
      </c>
      <c r="J265" s="59"/>
      <c r="K265" s="59"/>
    </row>
    <row r="266" spans="2:14" s="17" customFormat="1" ht="15" thickBot="1" x14ac:dyDescent="0.35">
      <c r="B266" s="13">
        <v>45231</v>
      </c>
      <c r="C266" s="14" t="s">
        <v>12</v>
      </c>
      <c r="D266" s="15"/>
      <c r="E266" s="15"/>
      <c r="F266" s="15"/>
      <c r="G266" s="15"/>
      <c r="H266" s="16">
        <v>0</v>
      </c>
      <c r="I266" s="16">
        <v>0</v>
      </c>
      <c r="J266" s="14"/>
      <c r="K266" s="14"/>
    </row>
    <row r="267" spans="2:14" s="17" customFormat="1" ht="15" thickBot="1" x14ac:dyDescent="0.35">
      <c r="B267" s="18"/>
      <c r="C267" s="14" t="s">
        <v>13</v>
      </c>
      <c r="D267" s="15"/>
      <c r="E267" s="15"/>
      <c r="F267" s="15"/>
      <c r="G267" s="15"/>
      <c r="H267" s="16">
        <v>0</v>
      </c>
      <c r="I267" s="16">
        <v>0</v>
      </c>
      <c r="J267" s="14"/>
      <c r="K267" s="14"/>
    </row>
    <row r="268" spans="2:14" s="17" customFormat="1" ht="15" customHeight="1" thickBot="1" x14ac:dyDescent="0.35">
      <c r="B268" s="18"/>
      <c r="C268" s="14" t="s">
        <v>14</v>
      </c>
      <c r="D268" s="15"/>
      <c r="E268" s="15"/>
      <c r="F268" s="15"/>
      <c r="G268" s="15"/>
      <c r="H268" s="16">
        <v>7483</v>
      </c>
      <c r="I268" s="14">
        <v>7166.75</v>
      </c>
      <c r="J268" s="14" t="s">
        <v>68</v>
      </c>
      <c r="K268" s="14" t="s">
        <v>69</v>
      </c>
      <c r="M268" s="67"/>
      <c r="N268" s="67"/>
    </row>
    <row r="269" spans="2:14" s="17" customFormat="1" ht="15" thickBot="1" x14ac:dyDescent="0.35">
      <c r="B269" s="18"/>
      <c r="C269" s="14" t="s">
        <v>16</v>
      </c>
      <c r="D269" s="15"/>
      <c r="E269" s="15"/>
      <c r="F269" s="15"/>
      <c r="G269" s="15"/>
      <c r="H269" s="16">
        <v>0</v>
      </c>
      <c r="I269" s="16">
        <v>0</v>
      </c>
      <c r="J269" s="14"/>
      <c r="K269" s="14"/>
      <c r="M269" s="67"/>
      <c r="N269" s="67"/>
    </row>
    <row r="270" spans="2:14" s="23" customFormat="1" ht="15" thickBot="1" x14ac:dyDescent="0.35">
      <c r="B270" s="18"/>
      <c r="C270" s="19" t="s">
        <v>17</v>
      </c>
      <c r="D270" s="20"/>
      <c r="E270" s="20">
        <v>115500</v>
      </c>
      <c r="F270" s="20">
        <v>523900</v>
      </c>
      <c r="G270" s="20"/>
      <c r="H270" s="49">
        <v>205612.77</v>
      </c>
      <c r="I270" s="50">
        <v>187774.4</v>
      </c>
      <c r="J270" s="51" t="s">
        <v>70</v>
      </c>
      <c r="K270" s="50">
        <v>187774.4</v>
      </c>
    </row>
    <row r="271" spans="2:14" s="23" customFormat="1" ht="15" thickBot="1" x14ac:dyDescent="0.35">
      <c r="B271" s="18"/>
      <c r="C271" s="19" t="s">
        <v>18</v>
      </c>
      <c r="D271" s="20"/>
      <c r="E271" s="20">
        <v>115500</v>
      </c>
      <c r="F271" s="20"/>
      <c r="G271" s="20"/>
      <c r="H271" s="49">
        <v>43502.95</v>
      </c>
      <c r="I271" s="22">
        <v>0</v>
      </c>
      <c r="J271" s="19"/>
      <c r="K271" s="19"/>
    </row>
    <row r="272" spans="2:14" s="23" customFormat="1" ht="15" thickBot="1" x14ac:dyDescent="0.35">
      <c r="B272" s="18"/>
      <c r="C272" s="19" t="s">
        <v>19</v>
      </c>
      <c r="D272" s="20"/>
      <c r="E272" s="20">
        <v>577500</v>
      </c>
      <c r="F272" s="20">
        <v>218600</v>
      </c>
      <c r="G272" s="20"/>
      <c r="H272" s="52">
        <v>235753.06</v>
      </c>
      <c r="I272" s="22">
        <v>0</v>
      </c>
      <c r="J272" s="19"/>
      <c r="K272" s="19"/>
    </row>
    <row r="273" spans="2:14" ht="15" thickBot="1" x14ac:dyDescent="0.35">
      <c r="B273" s="18"/>
      <c r="C273" s="56" t="s">
        <v>21</v>
      </c>
      <c r="D273" s="57"/>
      <c r="E273" s="57"/>
      <c r="F273" s="57"/>
      <c r="G273" s="57"/>
      <c r="H273" s="58">
        <v>0</v>
      </c>
      <c r="I273" s="58">
        <v>0</v>
      </c>
      <c r="J273" s="59"/>
      <c r="K273" s="59"/>
    </row>
    <row r="274" spans="2:14" s="17" customFormat="1" ht="15" thickBot="1" x14ac:dyDescent="0.35">
      <c r="B274" s="18"/>
      <c r="C274" s="14" t="s">
        <v>22</v>
      </c>
      <c r="D274" s="15"/>
      <c r="E274" s="15">
        <v>110000</v>
      </c>
      <c r="F274" s="15">
        <v>270000</v>
      </c>
      <c r="G274" s="15"/>
      <c r="H274" s="16">
        <v>58414.9</v>
      </c>
      <c r="I274" s="16">
        <v>0</v>
      </c>
      <c r="J274" s="14"/>
      <c r="K274" s="14"/>
    </row>
    <row r="275" spans="2:14" s="23" customFormat="1" ht="15" thickBot="1" x14ac:dyDescent="0.35">
      <c r="B275" s="18"/>
      <c r="C275" s="19" t="s">
        <v>23</v>
      </c>
      <c r="D275" s="20"/>
      <c r="E275" s="20">
        <v>231000</v>
      </c>
      <c r="F275" s="20">
        <v>208000</v>
      </c>
      <c r="G275" s="20"/>
      <c r="H275" s="49">
        <v>150969.76</v>
      </c>
      <c r="I275" s="22">
        <v>0</v>
      </c>
      <c r="J275" s="19"/>
      <c r="K275" s="19"/>
    </row>
    <row r="276" spans="2:14" s="17" customFormat="1" ht="29.4" thickBot="1" x14ac:dyDescent="0.35">
      <c r="B276" s="18"/>
      <c r="C276" s="14" t="s">
        <v>24</v>
      </c>
      <c r="D276" s="15"/>
      <c r="E276" s="15"/>
      <c r="F276" s="15"/>
      <c r="G276" s="15"/>
      <c r="H276" s="16">
        <v>0</v>
      </c>
      <c r="I276" s="16">
        <v>0</v>
      </c>
      <c r="J276" s="14"/>
      <c r="K276" s="14"/>
    </row>
    <row r="277" spans="2:14" ht="15" thickBot="1" x14ac:dyDescent="0.35">
      <c r="B277" s="18"/>
      <c r="C277" s="56" t="s">
        <v>60</v>
      </c>
      <c r="D277" s="57"/>
      <c r="E277" s="57"/>
      <c r="F277" s="57"/>
      <c r="G277" s="57"/>
      <c r="H277" s="58">
        <v>0</v>
      </c>
      <c r="I277" s="58">
        <v>0</v>
      </c>
      <c r="J277" s="59"/>
      <c r="K277" s="59"/>
    </row>
    <row r="278" spans="2:14" ht="15" thickBot="1" x14ac:dyDescent="0.35">
      <c r="B278" s="35"/>
      <c r="C278" s="11" t="s">
        <v>26</v>
      </c>
      <c r="D278" s="57"/>
      <c r="E278" s="90">
        <f>SUM(E266:E277)</f>
        <v>1149500</v>
      </c>
      <c r="F278" s="90">
        <f>SUM(F266:F277)</f>
        <v>1220500</v>
      </c>
      <c r="G278" s="57"/>
      <c r="H278" s="65">
        <f>SUM(H266:H277)</f>
        <v>701736.44</v>
      </c>
      <c r="I278" s="65">
        <f>SUM(I266:I277)</f>
        <v>194941.15</v>
      </c>
      <c r="J278" s="59"/>
      <c r="K278" s="59"/>
    </row>
    <row r="279" spans="2:14" s="17" customFormat="1" ht="15" thickBot="1" x14ac:dyDescent="0.35">
      <c r="B279" s="13">
        <v>45261</v>
      </c>
      <c r="C279" s="14" t="s">
        <v>12</v>
      </c>
      <c r="D279" s="15"/>
      <c r="E279" s="15"/>
      <c r="F279" s="15"/>
      <c r="G279" s="15"/>
      <c r="H279" s="16">
        <v>0</v>
      </c>
      <c r="I279" s="16">
        <v>0</v>
      </c>
      <c r="J279" s="14"/>
      <c r="K279" s="14"/>
    </row>
    <row r="280" spans="2:14" s="17" customFormat="1" ht="15" thickBot="1" x14ac:dyDescent="0.35">
      <c r="B280" s="18"/>
      <c r="C280" s="14" t="s">
        <v>13</v>
      </c>
      <c r="D280" s="15"/>
      <c r="E280" s="15"/>
      <c r="F280" s="15"/>
      <c r="G280" s="15"/>
      <c r="H280" s="16">
        <v>0</v>
      </c>
      <c r="I280" s="16">
        <v>0</v>
      </c>
      <c r="J280" s="14"/>
      <c r="K280" s="14"/>
      <c r="M280" s="67"/>
      <c r="N280" s="67"/>
    </row>
    <row r="281" spans="2:14" s="17" customFormat="1" ht="15" thickBot="1" x14ac:dyDescent="0.35">
      <c r="B281" s="18"/>
      <c r="C281" s="14" t="s">
        <v>14</v>
      </c>
      <c r="D281" s="15"/>
      <c r="E281" s="15"/>
      <c r="F281" s="15"/>
      <c r="G281" s="15"/>
      <c r="H281" s="16">
        <v>0</v>
      </c>
      <c r="I281" s="14">
        <v>10702.56</v>
      </c>
      <c r="J281" s="14" t="s">
        <v>68</v>
      </c>
      <c r="K281" s="14" t="s">
        <v>71</v>
      </c>
      <c r="M281" s="67"/>
      <c r="N281" s="67"/>
    </row>
    <row r="282" spans="2:14" s="17" customFormat="1" ht="15" thickBot="1" x14ac:dyDescent="0.35">
      <c r="B282" s="18"/>
      <c r="C282" s="14" t="s">
        <v>16</v>
      </c>
      <c r="D282" s="15"/>
      <c r="E282" s="15"/>
      <c r="F282" s="15"/>
      <c r="G282" s="15"/>
      <c r="H282" s="16">
        <v>0</v>
      </c>
      <c r="I282" s="16">
        <v>0</v>
      </c>
      <c r="J282" s="14"/>
      <c r="K282" s="14"/>
    </row>
    <row r="283" spans="2:14" s="23" customFormat="1" ht="15" thickBot="1" x14ac:dyDescent="0.35">
      <c r="B283" s="18"/>
      <c r="C283" s="19" t="s">
        <v>17</v>
      </c>
      <c r="D283" s="20"/>
      <c r="E283" s="20">
        <v>119350</v>
      </c>
      <c r="F283" s="20">
        <v>337800</v>
      </c>
      <c r="G283" s="20"/>
      <c r="H283" s="100">
        <v>346523.46</v>
      </c>
      <c r="I283" s="50">
        <v>11364.45</v>
      </c>
      <c r="J283" s="51" t="s">
        <v>70</v>
      </c>
      <c r="K283" s="50">
        <v>11364.45</v>
      </c>
    </row>
    <row r="284" spans="2:14" s="23" customFormat="1" ht="15" thickBot="1" x14ac:dyDescent="0.35">
      <c r="B284" s="18"/>
      <c r="C284" s="19" t="s">
        <v>18</v>
      </c>
      <c r="D284" s="20"/>
      <c r="E284" s="20">
        <v>119350</v>
      </c>
      <c r="F284" s="20"/>
      <c r="G284" s="20"/>
      <c r="H284" s="49">
        <v>81095.48</v>
      </c>
      <c r="I284" s="22">
        <v>0</v>
      </c>
      <c r="J284" s="19"/>
      <c r="K284" s="19"/>
    </row>
    <row r="285" spans="2:14" s="23" customFormat="1" ht="15" thickBot="1" x14ac:dyDescent="0.35">
      <c r="B285" s="18"/>
      <c r="C285" s="19" t="s">
        <v>19</v>
      </c>
      <c r="D285" s="20"/>
      <c r="E285" s="20">
        <v>716100</v>
      </c>
      <c r="F285" s="20">
        <v>161300</v>
      </c>
      <c r="G285" s="20"/>
      <c r="H285" s="52">
        <v>204162.34</v>
      </c>
      <c r="I285" s="22">
        <v>0</v>
      </c>
      <c r="J285" s="19"/>
      <c r="K285" s="19"/>
    </row>
    <row r="286" spans="2:14" ht="15" thickBot="1" x14ac:dyDescent="0.35">
      <c r="B286" s="18"/>
      <c r="C286" s="56" t="s">
        <v>21</v>
      </c>
      <c r="D286" s="57"/>
      <c r="E286" s="57"/>
      <c r="F286" s="57"/>
      <c r="G286" s="57"/>
      <c r="H286" s="58">
        <v>0</v>
      </c>
      <c r="I286" s="59"/>
      <c r="J286" s="59"/>
      <c r="K286" s="59"/>
    </row>
    <row r="287" spans="2:14" s="17" customFormat="1" ht="15" thickBot="1" x14ac:dyDescent="0.35">
      <c r="B287" s="18"/>
      <c r="C287" s="14" t="s">
        <v>22</v>
      </c>
      <c r="D287" s="15"/>
      <c r="E287" s="15">
        <v>119350</v>
      </c>
      <c r="F287" s="15">
        <v>279000</v>
      </c>
      <c r="G287" s="15"/>
      <c r="H287" s="16">
        <v>66882.080000000002</v>
      </c>
      <c r="I287" s="16">
        <v>0</v>
      </c>
      <c r="J287" s="14"/>
      <c r="K287" s="14"/>
    </row>
    <row r="288" spans="2:14" s="23" customFormat="1" ht="15" thickBot="1" x14ac:dyDescent="0.35">
      <c r="B288" s="18"/>
      <c r="C288" s="19" t="s">
        <v>23</v>
      </c>
      <c r="D288" s="20"/>
      <c r="E288" s="20">
        <v>119350</v>
      </c>
      <c r="F288" s="20">
        <v>224700</v>
      </c>
      <c r="G288" s="20"/>
      <c r="H288" s="49">
        <v>211722.12</v>
      </c>
      <c r="I288" s="22">
        <v>0</v>
      </c>
      <c r="J288" s="19"/>
      <c r="K288" s="19"/>
    </row>
    <row r="289" spans="2:11" s="17" customFormat="1" ht="29.4" thickBot="1" x14ac:dyDescent="0.35">
      <c r="B289" s="18"/>
      <c r="C289" s="14" t="s">
        <v>24</v>
      </c>
      <c r="D289" s="15"/>
      <c r="E289" s="15"/>
      <c r="F289" s="15"/>
      <c r="G289" s="15"/>
      <c r="H289" s="16">
        <v>1135</v>
      </c>
      <c r="I289" s="16">
        <v>0</v>
      </c>
      <c r="J289" s="14"/>
      <c r="K289" s="14"/>
    </row>
    <row r="290" spans="2:11" ht="15" thickBot="1" x14ac:dyDescent="0.35">
      <c r="B290" s="18"/>
      <c r="C290" s="56" t="s">
        <v>60</v>
      </c>
      <c r="D290" s="57"/>
      <c r="E290" s="57"/>
      <c r="F290" s="57"/>
      <c r="G290" s="57"/>
      <c r="H290" s="58">
        <v>0</v>
      </c>
      <c r="I290" s="58">
        <v>0</v>
      </c>
      <c r="J290" s="59"/>
      <c r="K290" s="59"/>
    </row>
    <row r="291" spans="2:11" ht="15" thickBot="1" x14ac:dyDescent="0.35">
      <c r="B291" s="35"/>
      <c r="C291" s="11" t="s">
        <v>26</v>
      </c>
      <c r="D291" s="90"/>
      <c r="E291" s="90">
        <f>SUM(E279:E290)</f>
        <v>1193500</v>
      </c>
      <c r="F291" s="90">
        <f>SUM(F279:F290)</f>
        <v>1002800</v>
      </c>
      <c r="G291" s="57"/>
      <c r="H291" s="65">
        <f>SUM(H279:H290)</f>
        <v>911520.48</v>
      </c>
      <c r="I291" s="65">
        <f>SUM(I279:I290)</f>
        <v>22067.010000000002</v>
      </c>
      <c r="J291" s="59"/>
      <c r="K291" s="59"/>
    </row>
    <row r="292" spans="2:11" s="17" customFormat="1" ht="15" thickBot="1" x14ac:dyDescent="0.35">
      <c r="B292" s="13">
        <v>45292</v>
      </c>
      <c r="C292" s="14" t="s">
        <v>12</v>
      </c>
      <c r="D292" s="15"/>
      <c r="E292" s="15"/>
      <c r="F292" s="15"/>
      <c r="G292" s="15"/>
      <c r="H292" s="16">
        <v>0</v>
      </c>
      <c r="I292" s="16">
        <v>0</v>
      </c>
      <c r="J292" s="14"/>
      <c r="K292" s="14"/>
    </row>
    <row r="293" spans="2:11" s="17" customFormat="1" ht="15" thickBot="1" x14ac:dyDescent="0.35">
      <c r="B293" s="18"/>
      <c r="C293" s="14" t="s">
        <v>13</v>
      </c>
      <c r="D293" s="15"/>
      <c r="E293" s="15"/>
      <c r="F293" s="15"/>
      <c r="G293" s="15"/>
      <c r="H293" s="16">
        <v>0</v>
      </c>
      <c r="I293" s="16">
        <v>0</v>
      </c>
      <c r="J293" s="14"/>
      <c r="K293" s="14"/>
    </row>
    <row r="294" spans="2:11" s="17" customFormat="1" ht="15" thickBot="1" x14ac:dyDescent="0.35">
      <c r="B294" s="18"/>
      <c r="C294" s="14" t="s">
        <v>14</v>
      </c>
      <c r="D294" s="15"/>
      <c r="E294" s="15"/>
      <c r="F294" s="15"/>
      <c r="G294" s="15"/>
      <c r="H294" s="16">
        <v>4095.82</v>
      </c>
      <c r="I294" s="16">
        <v>0</v>
      </c>
      <c r="J294" s="14"/>
      <c r="K294" s="14"/>
    </row>
    <row r="295" spans="2:11" s="17" customFormat="1" ht="15" thickBot="1" x14ac:dyDescent="0.35">
      <c r="B295" s="18"/>
      <c r="C295" s="14" t="s">
        <v>16</v>
      </c>
      <c r="D295" s="15"/>
      <c r="E295" s="15"/>
      <c r="F295" s="15"/>
      <c r="G295" s="15"/>
      <c r="H295" s="16">
        <v>8158</v>
      </c>
      <c r="I295" s="16">
        <v>0</v>
      </c>
      <c r="J295" s="14"/>
      <c r="K295" s="14"/>
    </row>
    <row r="296" spans="2:11" s="23" customFormat="1" ht="15" thickBot="1" x14ac:dyDescent="0.35">
      <c r="B296" s="18"/>
      <c r="C296" s="19" t="s">
        <v>17</v>
      </c>
      <c r="D296" s="20"/>
      <c r="E296" s="48">
        <v>119350</v>
      </c>
      <c r="F296" s="20">
        <v>489100</v>
      </c>
      <c r="G296" s="20"/>
      <c r="H296" s="49">
        <v>419694.93</v>
      </c>
      <c r="I296" s="22">
        <v>0</v>
      </c>
      <c r="J296" s="19"/>
      <c r="K296" s="19"/>
    </row>
    <row r="297" spans="2:11" s="23" customFormat="1" ht="15" thickBot="1" x14ac:dyDescent="0.35">
      <c r="B297" s="18"/>
      <c r="C297" s="19" t="s">
        <v>18</v>
      </c>
      <c r="D297" s="20"/>
      <c r="E297" s="20">
        <v>119350</v>
      </c>
      <c r="F297" s="20"/>
      <c r="G297" s="20"/>
      <c r="H297" s="49">
        <v>98503.67</v>
      </c>
      <c r="I297" s="22">
        <v>0</v>
      </c>
      <c r="J297" s="51" t="s">
        <v>31</v>
      </c>
      <c r="K297" s="50" t="s">
        <v>31</v>
      </c>
    </row>
    <row r="298" spans="2:11" s="23" customFormat="1" ht="15" thickBot="1" x14ac:dyDescent="0.35">
      <c r="B298" s="18"/>
      <c r="C298" s="19" t="s">
        <v>19</v>
      </c>
      <c r="D298" s="20"/>
      <c r="E298" s="20">
        <v>716100</v>
      </c>
      <c r="F298" s="20">
        <v>322300</v>
      </c>
      <c r="G298" s="20"/>
      <c r="H298" s="52">
        <v>242338.87</v>
      </c>
      <c r="I298" s="53">
        <v>4019.25</v>
      </c>
      <c r="J298" s="54" t="s">
        <v>70</v>
      </c>
      <c r="K298" s="53">
        <v>4019.25</v>
      </c>
    </row>
    <row r="299" spans="2:11" ht="15" thickBot="1" x14ac:dyDescent="0.35">
      <c r="B299" s="18"/>
      <c r="C299" s="56" t="s">
        <v>21</v>
      </c>
      <c r="D299" s="57"/>
      <c r="E299" s="57"/>
      <c r="F299" s="57"/>
      <c r="G299" s="57"/>
      <c r="H299" s="58">
        <v>0</v>
      </c>
      <c r="I299" s="58">
        <v>0</v>
      </c>
      <c r="J299" s="59"/>
      <c r="K299" s="59"/>
    </row>
    <row r="300" spans="2:11" s="17" customFormat="1" ht="15" thickBot="1" x14ac:dyDescent="0.35">
      <c r="B300" s="18"/>
      <c r="C300" s="14" t="s">
        <v>22</v>
      </c>
      <c r="D300" s="15"/>
      <c r="E300" s="45">
        <v>119350</v>
      </c>
      <c r="F300" s="15">
        <v>279000</v>
      </c>
      <c r="G300" s="15"/>
      <c r="H300" s="16">
        <v>49632.41</v>
      </c>
      <c r="I300" s="16">
        <v>0</v>
      </c>
      <c r="J300" s="14"/>
      <c r="K300" s="14"/>
    </row>
    <row r="301" spans="2:11" s="23" customFormat="1" ht="15" thickBot="1" x14ac:dyDescent="0.35">
      <c r="B301" s="18"/>
      <c r="C301" s="19" t="s">
        <v>23</v>
      </c>
      <c r="D301" s="20"/>
      <c r="E301" s="48">
        <v>119350</v>
      </c>
      <c r="F301" s="20">
        <v>235000</v>
      </c>
      <c r="G301" s="20"/>
      <c r="H301" s="49">
        <v>174459.5</v>
      </c>
      <c r="I301" s="22">
        <v>0</v>
      </c>
      <c r="J301" s="19"/>
      <c r="K301" s="19"/>
    </row>
    <row r="302" spans="2:11" s="17" customFormat="1" ht="29.4" thickBot="1" x14ac:dyDescent="0.35">
      <c r="B302" s="18"/>
      <c r="C302" s="14" t="s">
        <v>24</v>
      </c>
      <c r="D302" s="15"/>
      <c r="E302" s="15"/>
      <c r="F302" s="15"/>
      <c r="G302" s="15"/>
      <c r="H302" s="16">
        <v>4355</v>
      </c>
      <c r="I302" s="16">
        <v>0</v>
      </c>
      <c r="J302" s="14"/>
      <c r="K302" s="14"/>
    </row>
    <row r="303" spans="2:11" ht="15" thickBot="1" x14ac:dyDescent="0.35">
      <c r="B303" s="18"/>
      <c r="C303" s="56" t="s">
        <v>60</v>
      </c>
      <c r="D303" s="57"/>
      <c r="E303" s="57"/>
      <c r="F303" s="57"/>
      <c r="G303" s="57"/>
      <c r="H303" s="58">
        <v>0</v>
      </c>
      <c r="I303" s="58">
        <v>0</v>
      </c>
      <c r="J303" s="59"/>
      <c r="K303" s="59"/>
    </row>
    <row r="304" spans="2:11" ht="15" thickBot="1" x14ac:dyDescent="0.35">
      <c r="B304" s="35"/>
      <c r="C304" s="11" t="s">
        <v>26</v>
      </c>
      <c r="D304" s="57"/>
      <c r="E304" s="90">
        <f>SUM(E292:E303)</f>
        <v>1193500</v>
      </c>
      <c r="F304" s="90">
        <f>SUM(F292:F303)</f>
        <v>1325400</v>
      </c>
      <c r="G304" s="57"/>
      <c r="H304" s="65">
        <f>SUM(H292:H303)</f>
        <v>1001238.2000000001</v>
      </c>
      <c r="I304" s="65">
        <f>SUM(I292:I303)</f>
        <v>4019.25</v>
      </c>
      <c r="J304" s="59"/>
      <c r="K304" s="59"/>
    </row>
    <row r="305" spans="2:13" s="17" customFormat="1" ht="15" thickBot="1" x14ac:dyDescent="0.35">
      <c r="B305" s="13">
        <v>45323</v>
      </c>
      <c r="C305" s="14" t="s">
        <v>12</v>
      </c>
      <c r="D305" s="15"/>
      <c r="E305" s="15"/>
      <c r="F305" s="15"/>
      <c r="G305" s="15"/>
      <c r="H305" s="16">
        <v>0</v>
      </c>
      <c r="I305" s="16">
        <v>0</v>
      </c>
      <c r="J305" s="14"/>
      <c r="K305" s="14"/>
    </row>
    <row r="306" spans="2:13" s="17" customFormat="1" ht="15" thickBot="1" x14ac:dyDescent="0.35">
      <c r="B306" s="18"/>
      <c r="C306" s="14" t="s">
        <v>13</v>
      </c>
      <c r="D306" s="15"/>
      <c r="E306" s="15"/>
      <c r="F306" s="15"/>
      <c r="G306" s="15"/>
      <c r="H306" s="16">
        <v>0</v>
      </c>
      <c r="I306" s="16">
        <v>0</v>
      </c>
      <c r="J306" s="14"/>
      <c r="K306" s="14"/>
    </row>
    <row r="307" spans="2:13" s="17" customFormat="1" ht="15" thickBot="1" x14ac:dyDescent="0.35">
      <c r="B307" s="18"/>
      <c r="C307" s="14" t="s">
        <v>14</v>
      </c>
      <c r="D307" s="15"/>
      <c r="E307" s="15">
        <v>669900</v>
      </c>
      <c r="F307" s="15"/>
      <c r="G307" s="15"/>
      <c r="H307" s="16">
        <v>0</v>
      </c>
      <c r="I307" s="16">
        <v>0</v>
      </c>
      <c r="J307" s="14"/>
      <c r="K307" s="14"/>
    </row>
    <row r="308" spans="2:13" s="17" customFormat="1" ht="15" thickBot="1" x14ac:dyDescent="0.35">
      <c r="B308" s="18"/>
      <c r="C308" s="14" t="s">
        <v>16</v>
      </c>
      <c r="D308" s="15"/>
      <c r="E308" s="15"/>
      <c r="F308" s="15"/>
      <c r="G308" s="15"/>
      <c r="H308" s="16">
        <v>29148.01</v>
      </c>
      <c r="I308" s="16">
        <v>0</v>
      </c>
      <c r="J308" s="14"/>
      <c r="K308" s="14"/>
    </row>
    <row r="309" spans="2:13" s="23" customFormat="1" ht="15" thickBot="1" x14ac:dyDescent="0.35">
      <c r="B309" s="18"/>
      <c r="C309" s="19" t="s">
        <v>17</v>
      </c>
      <c r="D309" s="20"/>
      <c r="E309" s="20">
        <v>111650</v>
      </c>
      <c r="F309" s="20">
        <v>525100</v>
      </c>
      <c r="G309" s="20"/>
      <c r="H309" s="49">
        <v>367638.49</v>
      </c>
      <c r="I309" s="22">
        <v>0</v>
      </c>
      <c r="J309" s="19"/>
      <c r="K309" s="19"/>
    </row>
    <row r="310" spans="2:13" s="23" customFormat="1" ht="15" thickBot="1" x14ac:dyDescent="0.35">
      <c r="B310" s="18"/>
      <c r="C310" s="19" t="s">
        <v>18</v>
      </c>
      <c r="D310" s="20"/>
      <c r="E310" s="20">
        <v>111650</v>
      </c>
      <c r="F310" s="20">
        <v>22400</v>
      </c>
      <c r="G310" s="20"/>
      <c r="H310" s="49">
        <v>81163.64</v>
      </c>
      <c r="I310" s="22">
        <v>0</v>
      </c>
      <c r="J310" s="19"/>
      <c r="K310" s="19"/>
    </row>
    <row r="311" spans="2:13" s="23" customFormat="1" ht="15" thickBot="1" x14ac:dyDescent="0.35">
      <c r="B311" s="18"/>
      <c r="C311" s="19" t="s">
        <v>19</v>
      </c>
      <c r="D311" s="20"/>
      <c r="E311" s="20"/>
      <c r="F311" s="20">
        <v>331700</v>
      </c>
      <c r="G311" s="20"/>
      <c r="H311" s="52">
        <v>242027.83</v>
      </c>
      <c r="I311" s="22">
        <v>0</v>
      </c>
      <c r="J311" s="19"/>
      <c r="K311" s="19"/>
    </row>
    <row r="312" spans="2:13" ht="15" thickBot="1" x14ac:dyDescent="0.35">
      <c r="B312" s="18"/>
      <c r="C312" s="56" t="s">
        <v>21</v>
      </c>
      <c r="D312" s="57"/>
      <c r="E312" s="57"/>
      <c r="F312" s="57"/>
      <c r="G312" s="57"/>
      <c r="H312" s="58">
        <v>0</v>
      </c>
      <c r="I312" s="58">
        <v>0</v>
      </c>
      <c r="J312" s="59"/>
      <c r="K312" s="59"/>
    </row>
    <row r="313" spans="2:13" s="17" customFormat="1" ht="15" thickBot="1" x14ac:dyDescent="0.35">
      <c r="B313" s="18"/>
      <c r="C313" s="14" t="s">
        <v>22</v>
      </c>
      <c r="D313" s="15"/>
      <c r="E313" s="15">
        <v>114765</v>
      </c>
      <c r="F313" s="15">
        <v>261000</v>
      </c>
      <c r="G313" s="15"/>
      <c r="H313" s="16">
        <v>55354.94</v>
      </c>
      <c r="I313" s="16">
        <v>0</v>
      </c>
      <c r="J313" s="14"/>
      <c r="K313" s="14"/>
    </row>
    <row r="314" spans="2:13" s="23" customFormat="1" ht="15" thickBot="1" x14ac:dyDescent="0.35">
      <c r="B314" s="18"/>
      <c r="C314" s="19" t="s">
        <v>23</v>
      </c>
      <c r="D314" s="20"/>
      <c r="E314" s="20">
        <v>111650</v>
      </c>
      <c r="F314" s="20">
        <v>208400</v>
      </c>
      <c r="G314" s="20"/>
      <c r="H314" s="49">
        <v>180628.22</v>
      </c>
      <c r="I314" s="22">
        <v>0</v>
      </c>
      <c r="J314" s="19"/>
      <c r="K314" s="19"/>
    </row>
    <row r="315" spans="2:13" s="17" customFormat="1" ht="29.4" thickBot="1" x14ac:dyDescent="0.35">
      <c r="B315" s="18"/>
      <c r="C315" s="14" t="s">
        <v>24</v>
      </c>
      <c r="D315" s="15"/>
      <c r="E315" s="15"/>
      <c r="F315" s="15"/>
      <c r="G315" s="15"/>
      <c r="H315" s="16">
        <v>7742</v>
      </c>
      <c r="I315" s="16">
        <v>0</v>
      </c>
      <c r="J315" s="14"/>
      <c r="K315" s="14"/>
    </row>
    <row r="316" spans="2:13" ht="15" thickBot="1" x14ac:dyDescent="0.35">
      <c r="B316" s="18"/>
      <c r="C316" s="56" t="s">
        <v>60</v>
      </c>
      <c r="D316" s="57"/>
      <c r="E316" s="57"/>
      <c r="F316" s="57"/>
      <c r="G316" s="57"/>
      <c r="H316" s="58">
        <v>0</v>
      </c>
      <c r="I316" s="58">
        <v>0</v>
      </c>
      <c r="J316" s="59"/>
      <c r="K316" s="59"/>
    </row>
    <row r="317" spans="2:13" ht="15" thickBot="1" x14ac:dyDescent="0.35">
      <c r="B317" s="35"/>
      <c r="C317" s="11" t="s">
        <v>26</v>
      </c>
      <c r="D317" s="57"/>
      <c r="E317" s="90">
        <f>SUM(E305:E316)</f>
        <v>1119615</v>
      </c>
      <c r="F317" s="90">
        <f>SUM(F305:F316)</f>
        <v>1348600</v>
      </c>
      <c r="G317" s="57"/>
      <c r="H317" s="65">
        <f>SUM(H305:H316)</f>
        <v>963703.12999999989</v>
      </c>
      <c r="I317" s="65">
        <f>SUM(I305:I316)</f>
        <v>0</v>
      </c>
      <c r="J317" s="59"/>
      <c r="K317" s="59"/>
    </row>
    <row r="318" spans="2:13" s="17" customFormat="1" ht="15" thickBot="1" x14ac:dyDescent="0.35">
      <c r="B318" s="13">
        <v>45352</v>
      </c>
      <c r="C318" s="14" t="s">
        <v>12</v>
      </c>
      <c r="D318" s="15"/>
      <c r="E318" s="15"/>
      <c r="F318" s="15"/>
      <c r="G318" s="15"/>
      <c r="H318" s="16">
        <v>0</v>
      </c>
      <c r="I318" s="16">
        <v>0</v>
      </c>
      <c r="J318" s="14"/>
      <c r="K318" s="14"/>
    </row>
    <row r="319" spans="2:13" s="17" customFormat="1" ht="15" thickBot="1" x14ac:dyDescent="0.35">
      <c r="B319" s="18"/>
      <c r="C319" s="14" t="s">
        <v>13</v>
      </c>
      <c r="D319" s="15"/>
      <c r="E319" s="15"/>
      <c r="F319" s="15"/>
      <c r="G319" s="15"/>
      <c r="H319" s="16">
        <v>0</v>
      </c>
      <c r="I319" s="16">
        <v>0</v>
      </c>
      <c r="J319" s="14"/>
      <c r="K319" s="14"/>
      <c r="M319" s="101"/>
    </row>
    <row r="320" spans="2:13" s="17" customFormat="1" ht="15" thickBot="1" x14ac:dyDescent="0.35">
      <c r="B320" s="18"/>
      <c r="C320" s="14" t="s">
        <v>14</v>
      </c>
      <c r="D320" s="15"/>
      <c r="E320" s="15"/>
      <c r="F320" s="15"/>
      <c r="G320" s="15"/>
      <c r="H320" s="16">
        <v>3701.2</v>
      </c>
      <c r="I320" s="16">
        <v>0</v>
      </c>
      <c r="J320" s="14"/>
      <c r="K320" s="14"/>
      <c r="M320" s="101"/>
    </row>
    <row r="321" spans="2:11" s="17" customFormat="1" ht="15" thickBot="1" x14ac:dyDescent="0.35">
      <c r="B321" s="18"/>
      <c r="C321" s="14" t="s">
        <v>16</v>
      </c>
      <c r="D321" s="15"/>
      <c r="E321" s="15"/>
      <c r="F321" s="15">
        <v>57750</v>
      </c>
      <c r="G321" s="15"/>
      <c r="H321" s="16">
        <v>78571.520000000004</v>
      </c>
      <c r="I321" s="62">
        <v>7977.55</v>
      </c>
      <c r="J321" s="14" t="s">
        <v>72</v>
      </c>
      <c r="K321" s="14" t="s">
        <v>73</v>
      </c>
    </row>
    <row r="322" spans="2:11" s="23" customFormat="1" ht="15" thickBot="1" x14ac:dyDescent="0.35">
      <c r="B322" s="18"/>
      <c r="C322" s="19" t="s">
        <v>17</v>
      </c>
      <c r="D322" s="20"/>
      <c r="E322" s="20">
        <v>119350</v>
      </c>
      <c r="F322" s="20">
        <v>357400</v>
      </c>
      <c r="G322" s="20"/>
      <c r="H322" s="49">
        <v>370798.13</v>
      </c>
      <c r="I322" s="50">
        <v>18560.900000000001</v>
      </c>
      <c r="J322" s="51" t="s">
        <v>70</v>
      </c>
      <c r="K322" s="50">
        <v>18560.900000000001</v>
      </c>
    </row>
    <row r="323" spans="2:11" s="23" customFormat="1" ht="15" thickBot="1" x14ac:dyDescent="0.35">
      <c r="B323" s="18"/>
      <c r="C323" s="19" t="s">
        <v>18</v>
      </c>
      <c r="D323" s="20"/>
      <c r="E323" s="20">
        <v>119350</v>
      </c>
      <c r="F323" s="20">
        <v>12400</v>
      </c>
      <c r="G323" s="20"/>
      <c r="H323" s="49">
        <v>103778.16</v>
      </c>
      <c r="I323" s="30">
        <v>0</v>
      </c>
      <c r="J323" s="51" t="s">
        <v>31</v>
      </c>
      <c r="K323" s="50" t="s">
        <v>31</v>
      </c>
    </row>
    <row r="324" spans="2:11" s="23" customFormat="1" ht="15" thickBot="1" x14ac:dyDescent="0.35">
      <c r="B324" s="18"/>
      <c r="C324" s="19" t="s">
        <v>19</v>
      </c>
      <c r="D324" s="20"/>
      <c r="E324" s="20">
        <v>716100</v>
      </c>
      <c r="F324" s="20">
        <v>239200</v>
      </c>
      <c r="G324" s="20"/>
      <c r="H324" s="52">
        <v>252982.32</v>
      </c>
      <c r="I324" s="53">
        <v>31694.09</v>
      </c>
      <c r="J324" s="54" t="s">
        <v>20</v>
      </c>
      <c r="K324" s="53">
        <v>31694.09</v>
      </c>
    </row>
    <row r="325" spans="2:11" ht="15" thickBot="1" x14ac:dyDescent="0.35">
      <c r="B325" s="18"/>
      <c r="C325" s="56" t="s">
        <v>21</v>
      </c>
      <c r="D325" s="57"/>
      <c r="E325" s="57"/>
      <c r="F325" s="57"/>
      <c r="G325" s="57"/>
      <c r="H325" s="58">
        <v>0</v>
      </c>
      <c r="I325" s="58">
        <v>0</v>
      </c>
      <c r="J325" s="59"/>
      <c r="K325" s="59"/>
    </row>
    <row r="326" spans="2:11" s="17" customFormat="1" ht="15" thickBot="1" x14ac:dyDescent="0.35">
      <c r="B326" s="18"/>
      <c r="C326" s="14" t="s">
        <v>22</v>
      </c>
      <c r="D326" s="15"/>
      <c r="E326" s="15">
        <v>143220</v>
      </c>
      <c r="F326" s="15">
        <v>279000</v>
      </c>
      <c r="G326" s="15"/>
      <c r="H326" s="16">
        <v>53270.55</v>
      </c>
      <c r="I326" s="16">
        <f t="shared" ref="I326" si="4">SUM(I170,I183,I196,I209,I222,I235,I248,I261,I274,I287,I300,I313)</f>
        <v>0</v>
      </c>
      <c r="J326" s="14"/>
      <c r="K326" s="14"/>
    </row>
    <row r="327" spans="2:11" s="23" customFormat="1" ht="15" thickBot="1" x14ac:dyDescent="0.35">
      <c r="B327" s="18"/>
      <c r="C327" s="19" t="s">
        <v>23</v>
      </c>
      <c r="D327" s="20"/>
      <c r="E327" s="20">
        <v>119350</v>
      </c>
      <c r="F327" s="20">
        <v>161900</v>
      </c>
      <c r="G327" s="20"/>
      <c r="H327" s="49">
        <v>161922.38</v>
      </c>
      <c r="I327" s="22">
        <v>0</v>
      </c>
      <c r="J327" s="19"/>
      <c r="K327" s="19"/>
    </row>
    <row r="328" spans="2:11" s="17" customFormat="1" ht="29.4" thickBot="1" x14ac:dyDescent="0.35">
      <c r="B328" s="18"/>
      <c r="C328" s="14" t="s">
        <v>24</v>
      </c>
      <c r="D328" s="15"/>
      <c r="E328" s="15"/>
      <c r="F328" s="15"/>
      <c r="G328" s="15"/>
      <c r="H328" s="16">
        <v>10761</v>
      </c>
      <c r="I328" s="16">
        <f t="shared" ref="I328" si="5">SUM(I172,I185,I198,I211,I224,I237,I250,I263,I276,I289,I302,I315)</f>
        <v>0</v>
      </c>
      <c r="J328" s="14"/>
      <c r="K328" s="14"/>
    </row>
    <row r="329" spans="2:11" s="34" customFormat="1" ht="15" thickBot="1" x14ac:dyDescent="0.35">
      <c r="B329" s="18"/>
      <c r="C329" s="31" t="s">
        <v>60</v>
      </c>
      <c r="D329" s="32"/>
      <c r="E329" s="32"/>
      <c r="F329" s="32"/>
      <c r="G329" s="32"/>
      <c r="H329" s="33">
        <v>7777.1</v>
      </c>
      <c r="I329" s="33">
        <v>0</v>
      </c>
      <c r="J329" s="31"/>
      <c r="K329" s="31"/>
    </row>
    <row r="330" spans="2:11" ht="15" thickBot="1" x14ac:dyDescent="0.35">
      <c r="B330" s="35"/>
      <c r="C330" s="11" t="s">
        <v>26</v>
      </c>
      <c r="D330" s="57"/>
      <c r="E330" s="57">
        <f>SUM(E318:E329)</f>
        <v>1217370</v>
      </c>
      <c r="F330" s="57">
        <f>SUM(F318:F329)</f>
        <v>1107650</v>
      </c>
      <c r="G330" s="57"/>
      <c r="H330" s="65">
        <f>SUM(H318:H329)</f>
        <v>1043562.3600000001</v>
      </c>
      <c r="I330" s="65">
        <f>SUM(I318:I329)</f>
        <v>58232.54</v>
      </c>
      <c r="J330" s="59"/>
      <c r="K330" s="59"/>
    </row>
    <row r="331" spans="2:11" s="17" customFormat="1" ht="15" thickBot="1" x14ac:dyDescent="0.35">
      <c r="B331" s="102" t="s">
        <v>74</v>
      </c>
      <c r="C331" s="14" t="s">
        <v>12</v>
      </c>
      <c r="D331" s="15"/>
      <c r="E331" s="15">
        <f>+E175+E188+E201+E214+E227+E240+E253+E266+E279+E292+E305+E318</f>
        <v>0</v>
      </c>
      <c r="F331" s="15">
        <f>+F175+F188+F201+F214+F227+F240+F253+F266+F279+F292+F305+F318</f>
        <v>0</v>
      </c>
      <c r="G331" s="15"/>
      <c r="H331" s="16">
        <v>3866.31</v>
      </c>
      <c r="I331" s="16">
        <f t="shared" ref="I331:I334" si="6">SUM(I175,I188,I201,I214,I227,I240,I253,I266,I279,I292,I305,I318)</f>
        <v>0</v>
      </c>
      <c r="J331" s="14"/>
      <c r="K331" s="14"/>
    </row>
    <row r="332" spans="2:11" s="17" customFormat="1" ht="15" thickBot="1" x14ac:dyDescent="0.35">
      <c r="B332" s="103"/>
      <c r="C332" s="14" t="s">
        <v>13</v>
      </c>
      <c r="D332" s="15"/>
      <c r="E332" s="15">
        <f t="shared" ref="E332:F342" si="7">+E176+E189+E202+E215+E228+E241+E254+E267+E280+E293+E306+E319</f>
        <v>0</v>
      </c>
      <c r="F332" s="15">
        <f t="shared" si="7"/>
        <v>0</v>
      </c>
      <c r="G332" s="15"/>
      <c r="H332" s="16">
        <v>3774.6</v>
      </c>
      <c r="I332" s="16">
        <f t="shared" si="6"/>
        <v>0</v>
      </c>
      <c r="J332" s="14"/>
      <c r="K332" s="14"/>
    </row>
    <row r="333" spans="2:11" s="17" customFormat="1" ht="15" thickBot="1" x14ac:dyDescent="0.35">
      <c r="B333" s="103"/>
      <c r="C333" s="14" t="s">
        <v>14</v>
      </c>
      <c r="D333" s="15"/>
      <c r="E333" s="15">
        <f t="shared" si="7"/>
        <v>710325</v>
      </c>
      <c r="F333" s="15">
        <f t="shared" si="7"/>
        <v>0</v>
      </c>
      <c r="G333" s="15"/>
      <c r="H333" s="16">
        <v>34737.4</v>
      </c>
      <c r="I333" s="14">
        <f t="shared" si="6"/>
        <v>17869.309999999998</v>
      </c>
      <c r="J333" s="14"/>
      <c r="K333" s="14">
        <v>17869.309999999998</v>
      </c>
    </row>
    <row r="334" spans="2:11" s="17" customFormat="1" ht="15" thickBot="1" x14ac:dyDescent="0.35">
      <c r="B334" s="103"/>
      <c r="C334" s="14" t="s">
        <v>16</v>
      </c>
      <c r="D334" s="15"/>
      <c r="E334" s="15">
        <f t="shared" si="7"/>
        <v>0</v>
      </c>
      <c r="F334" s="15">
        <f t="shared" si="7"/>
        <v>296450</v>
      </c>
      <c r="G334" s="15"/>
      <c r="H334" s="16">
        <v>289752.58</v>
      </c>
      <c r="I334" s="16">
        <f t="shared" si="6"/>
        <v>12018.9</v>
      </c>
      <c r="J334" s="14"/>
      <c r="K334" s="16">
        <v>12018.9</v>
      </c>
    </row>
    <row r="335" spans="2:11" s="23" customFormat="1" ht="15" thickBot="1" x14ac:dyDescent="0.35">
      <c r="B335" s="103"/>
      <c r="C335" s="19" t="s">
        <v>17</v>
      </c>
      <c r="D335" s="20"/>
      <c r="E335" s="20">
        <f t="shared" si="7"/>
        <v>2233000</v>
      </c>
      <c r="F335" s="20">
        <f t="shared" si="7"/>
        <v>5103400</v>
      </c>
      <c r="G335" s="20"/>
      <c r="H335" s="22">
        <f>SUM(H179,H192,H205,H218,H231,H244,H257,H270,H283,H296,H309,H322)</f>
        <v>3893041.3600000003</v>
      </c>
      <c r="I335" s="19">
        <f>SUM(I179,I192,I205,I218,I231,I244,I257,I270,I283,I296,I309,I322)</f>
        <v>514015.7</v>
      </c>
      <c r="J335" s="19"/>
      <c r="K335" s="19">
        <f>I335</f>
        <v>514015.7</v>
      </c>
    </row>
    <row r="336" spans="2:11" s="23" customFormat="1" ht="15" thickBot="1" x14ac:dyDescent="0.35">
      <c r="B336" s="103"/>
      <c r="C336" s="19" t="s">
        <v>18</v>
      </c>
      <c r="D336" s="20"/>
      <c r="E336" s="20">
        <f t="shared" si="7"/>
        <v>585200</v>
      </c>
      <c r="F336" s="20">
        <f t="shared" si="7"/>
        <v>433000</v>
      </c>
      <c r="G336" s="20"/>
      <c r="H336" s="22">
        <f t="shared" ref="H336:I340" si="8">SUM(H180,H193,H206,H219,H232,H245,H258,H271,H284,H297,H310,H323)</f>
        <v>845786.25000000012</v>
      </c>
      <c r="I336" s="22">
        <v>0</v>
      </c>
      <c r="J336" s="19"/>
      <c r="K336" s="19"/>
    </row>
    <row r="337" spans="2:14" s="23" customFormat="1" ht="15" thickBot="1" x14ac:dyDescent="0.35">
      <c r="B337" s="103"/>
      <c r="C337" s="19" t="s">
        <v>19</v>
      </c>
      <c r="D337" s="20"/>
      <c r="E337" s="20">
        <f t="shared" si="7"/>
        <v>6785625</v>
      </c>
      <c r="F337" s="20">
        <f t="shared" si="7"/>
        <v>2515300</v>
      </c>
      <c r="G337" s="20"/>
      <c r="H337" s="22">
        <f t="shared" si="8"/>
        <v>2431700.0999999996</v>
      </c>
      <c r="I337" s="19">
        <f t="shared" si="8"/>
        <v>265182.48</v>
      </c>
      <c r="J337" s="19"/>
      <c r="K337" s="19">
        <f>I337</f>
        <v>265182.48</v>
      </c>
    </row>
    <row r="338" spans="2:14" ht="15" thickBot="1" x14ac:dyDescent="0.35">
      <c r="B338" s="103"/>
      <c r="C338" s="56" t="s">
        <v>21</v>
      </c>
      <c r="D338" s="57"/>
      <c r="E338" s="57">
        <f t="shared" si="7"/>
        <v>0</v>
      </c>
      <c r="F338" s="57">
        <f t="shared" si="7"/>
        <v>0</v>
      </c>
      <c r="G338" s="57"/>
      <c r="H338" s="30">
        <v>0</v>
      </c>
      <c r="I338" s="30">
        <v>0</v>
      </c>
      <c r="J338" s="59"/>
      <c r="K338" s="59"/>
    </row>
    <row r="339" spans="2:14" s="17" customFormat="1" ht="15" thickBot="1" x14ac:dyDescent="0.35">
      <c r="B339" s="103"/>
      <c r="C339" s="14" t="s">
        <v>22</v>
      </c>
      <c r="D339" s="15"/>
      <c r="E339" s="15">
        <f t="shared" si="7"/>
        <v>1322345</v>
      </c>
      <c r="F339" s="15">
        <f t="shared" si="7"/>
        <v>3294000</v>
      </c>
      <c r="G339" s="15"/>
      <c r="H339" s="16">
        <v>718613.72</v>
      </c>
      <c r="I339" s="16">
        <f t="shared" ref="I339" si="9">SUM(I183,I196,I209,I222,I235,I248,I261,I274,I287,I300,I313,I326)</f>
        <v>0</v>
      </c>
      <c r="J339" s="14"/>
      <c r="K339" s="14"/>
    </row>
    <row r="340" spans="2:14" s="23" customFormat="1" ht="15" thickBot="1" x14ac:dyDescent="0.35">
      <c r="B340" s="103"/>
      <c r="C340" s="19" t="s">
        <v>23</v>
      </c>
      <c r="D340" s="20"/>
      <c r="E340" s="20">
        <f t="shared" si="7"/>
        <v>1771000</v>
      </c>
      <c r="F340" s="20">
        <f t="shared" si="7"/>
        <v>1887300</v>
      </c>
      <c r="G340" s="20"/>
      <c r="H340" s="22">
        <f t="shared" si="8"/>
        <v>1599529.37</v>
      </c>
      <c r="I340" s="22">
        <v>0</v>
      </c>
      <c r="J340" s="19"/>
      <c r="K340" s="19"/>
    </row>
    <row r="341" spans="2:14" s="17" customFormat="1" ht="29.4" thickBot="1" x14ac:dyDescent="0.35">
      <c r="B341" s="103"/>
      <c r="C341" s="14" t="s">
        <v>24</v>
      </c>
      <c r="D341" s="15"/>
      <c r="E341" s="15">
        <f t="shared" si="7"/>
        <v>0</v>
      </c>
      <c r="F341" s="15">
        <f t="shared" si="7"/>
        <v>0</v>
      </c>
      <c r="G341" s="15"/>
      <c r="H341" s="16">
        <v>23993</v>
      </c>
      <c r="I341" s="16">
        <f t="shared" ref="I341" si="10">SUM(I185,I198,I211,I224,I237,I250,I263,I276,I289,I302,I315,I328)</f>
        <v>0</v>
      </c>
      <c r="J341" s="14"/>
      <c r="K341" s="14"/>
    </row>
    <row r="342" spans="2:14" ht="15" thickBot="1" x14ac:dyDescent="0.35">
      <c r="B342" s="103"/>
      <c r="C342" s="56" t="s">
        <v>60</v>
      </c>
      <c r="D342" s="57"/>
      <c r="E342" s="57">
        <f t="shared" si="7"/>
        <v>0</v>
      </c>
      <c r="F342" s="57">
        <f t="shared" si="7"/>
        <v>0</v>
      </c>
      <c r="G342" s="57"/>
      <c r="H342" s="58">
        <v>0</v>
      </c>
      <c r="I342" s="58">
        <v>0</v>
      </c>
      <c r="J342" s="59"/>
      <c r="K342" s="59"/>
    </row>
    <row r="343" spans="2:14" ht="16.2" thickBot="1" x14ac:dyDescent="0.35">
      <c r="B343" s="104"/>
      <c r="C343" s="105" t="s">
        <v>26</v>
      </c>
      <c r="D343" s="106"/>
      <c r="E343" s="106">
        <f>SUM(E331:E342)</f>
        <v>13407495</v>
      </c>
      <c r="F343" s="106">
        <f>SUM(F331:F342)</f>
        <v>13529450</v>
      </c>
      <c r="G343" s="106"/>
      <c r="H343" s="81">
        <f>SUM(H331:H342)</f>
        <v>9844794.6899999995</v>
      </c>
      <c r="I343" s="81">
        <f>SUM(I331:I342)</f>
        <v>809086.39</v>
      </c>
      <c r="J343" s="59"/>
      <c r="K343" s="59"/>
    </row>
    <row r="344" spans="2:14" s="17" customFormat="1" ht="15" thickBot="1" x14ac:dyDescent="0.35">
      <c r="B344" s="13">
        <v>45383</v>
      </c>
      <c r="C344" s="14" t="s">
        <v>12</v>
      </c>
      <c r="D344" s="15"/>
      <c r="E344" s="15"/>
      <c r="F344" s="15"/>
      <c r="G344" s="15"/>
      <c r="H344" s="16">
        <v>0</v>
      </c>
      <c r="I344" s="16">
        <f t="shared" ref="I344:I346" si="11">SUM(I188,I201,I214,I227,I240,I253,I266,I279,I292,I305,I318,I331)</f>
        <v>0</v>
      </c>
      <c r="J344" s="14"/>
      <c r="K344" s="14"/>
    </row>
    <row r="345" spans="2:14" s="17" customFormat="1" ht="15" thickBot="1" x14ac:dyDescent="0.35">
      <c r="B345" s="18"/>
      <c r="C345" s="14" t="s">
        <v>13</v>
      </c>
      <c r="D345" s="15"/>
      <c r="E345" s="15"/>
      <c r="F345" s="15"/>
      <c r="G345" s="15"/>
      <c r="H345" s="16">
        <v>0</v>
      </c>
      <c r="I345" s="16">
        <f t="shared" si="11"/>
        <v>0</v>
      </c>
      <c r="J345" s="14"/>
      <c r="K345" s="14"/>
      <c r="M345" s="67"/>
      <c r="N345" s="67"/>
    </row>
    <row r="346" spans="2:14" s="17" customFormat="1" ht="15" thickBot="1" x14ac:dyDescent="0.35">
      <c r="B346" s="18"/>
      <c r="C346" s="14" t="s">
        <v>14</v>
      </c>
      <c r="D346" s="15"/>
      <c r="E346" s="15"/>
      <c r="F346" s="15"/>
      <c r="G346" s="15"/>
      <c r="H346" s="16">
        <v>0</v>
      </c>
      <c r="I346" s="16">
        <f t="shared" si="11"/>
        <v>35738.619999999995</v>
      </c>
      <c r="J346" s="14"/>
      <c r="K346" s="14"/>
      <c r="M346" s="67"/>
      <c r="N346" s="67"/>
    </row>
    <row r="347" spans="2:14" s="17" customFormat="1" ht="15" thickBot="1" x14ac:dyDescent="0.35">
      <c r="B347" s="18"/>
      <c r="C347" s="14" t="s">
        <v>16</v>
      </c>
      <c r="D347" s="15"/>
      <c r="E347" s="15"/>
      <c r="F347" s="15">
        <v>115500</v>
      </c>
      <c r="G347" s="15"/>
      <c r="H347" s="16">
        <v>61285.4</v>
      </c>
      <c r="I347" s="16">
        <v>8092.5</v>
      </c>
      <c r="J347" s="14" t="s">
        <v>75</v>
      </c>
      <c r="K347" s="14" t="s">
        <v>76</v>
      </c>
    </row>
    <row r="348" spans="2:14" s="23" customFormat="1" ht="15" thickBot="1" x14ac:dyDescent="0.35">
      <c r="B348" s="18"/>
      <c r="C348" s="19" t="s">
        <v>17</v>
      </c>
      <c r="D348" s="20"/>
      <c r="E348" s="20">
        <v>115500</v>
      </c>
      <c r="F348" s="20">
        <v>321700</v>
      </c>
      <c r="G348" s="20"/>
      <c r="H348" s="107">
        <v>294494.92</v>
      </c>
      <c r="I348" s="50">
        <v>56909.3</v>
      </c>
      <c r="J348" s="51" t="s">
        <v>70</v>
      </c>
      <c r="K348" s="50">
        <v>56909.3</v>
      </c>
    </row>
    <row r="349" spans="2:14" s="23" customFormat="1" ht="15" thickBot="1" x14ac:dyDescent="0.35">
      <c r="B349" s="18"/>
      <c r="C349" s="19" t="s">
        <v>18</v>
      </c>
      <c r="D349" s="20"/>
      <c r="E349" s="20">
        <v>115500</v>
      </c>
      <c r="F349" s="20">
        <v>231000</v>
      </c>
      <c r="G349" s="20"/>
      <c r="H349" s="107">
        <v>186930.1</v>
      </c>
      <c r="I349" s="22">
        <v>0</v>
      </c>
      <c r="J349" s="19"/>
      <c r="K349" s="19"/>
    </row>
    <row r="350" spans="2:14" s="23" customFormat="1" ht="15" thickBot="1" x14ac:dyDescent="0.35">
      <c r="B350" s="18"/>
      <c r="C350" s="19" t="s">
        <v>19</v>
      </c>
      <c r="D350" s="20"/>
      <c r="E350" s="20">
        <v>693000</v>
      </c>
      <c r="F350" s="20">
        <v>154300</v>
      </c>
      <c r="G350" s="20"/>
      <c r="H350" s="108">
        <v>136170.59</v>
      </c>
      <c r="I350" s="22">
        <v>0</v>
      </c>
      <c r="J350" s="19"/>
      <c r="K350" s="19"/>
    </row>
    <row r="351" spans="2:14" ht="15" thickBot="1" x14ac:dyDescent="0.35">
      <c r="B351" s="18"/>
      <c r="C351" s="56" t="s">
        <v>21</v>
      </c>
      <c r="D351" s="57"/>
      <c r="E351" s="57"/>
      <c r="F351" s="57"/>
      <c r="G351" s="57"/>
      <c r="H351" s="58">
        <v>0</v>
      </c>
      <c r="I351" s="58">
        <v>0</v>
      </c>
      <c r="J351" s="59"/>
      <c r="K351" s="59"/>
    </row>
    <row r="352" spans="2:14" s="17" customFormat="1" ht="15" thickBot="1" x14ac:dyDescent="0.35">
      <c r="B352" s="18"/>
      <c r="C352" s="14" t="s">
        <v>22</v>
      </c>
      <c r="D352" s="15"/>
      <c r="E352" s="15">
        <v>115500</v>
      </c>
      <c r="F352" s="15">
        <v>270000</v>
      </c>
      <c r="G352" s="15"/>
      <c r="H352" s="16">
        <v>51343</v>
      </c>
      <c r="I352" s="16">
        <f t="shared" ref="I352" si="12">SUM(I196,I209,I222,I235,I248,I261,I274,I287,I300,I313,I326,I339)</f>
        <v>0</v>
      </c>
      <c r="J352" s="14"/>
      <c r="K352" s="14"/>
    </row>
    <row r="353" spans="2:11" s="23" customFormat="1" ht="15" thickBot="1" x14ac:dyDescent="0.35">
      <c r="B353" s="18"/>
      <c r="C353" s="19" t="s">
        <v>23</v>
      </c>
      <c r="D353" s="20"/>
      <c r="E353" s="20">
        <v>115500</v>
      </c>
      <c r="F353" s="20">
        <v>63300</v>
      </c>
      <c r="G353" s="20"/>
      <c r="H353" s="49">
        <v>74592.92</v>
      </c>
      <c r="I353" s="22">
        <v>0</v>
      </c>
      <c r="J353" s="19"/>
      <c r="K353" s="19"/>
    </row>
    <row r="354" spans="2:11" s="17" customFormat="1" ht="29.4" thickBot="1" x14ac:dyDescent="0.35">
      <c r="B354" s="18"/>
      <c r="C354" s="14" t="s">
        <v>24</v>
      </c>
      <c r="D354" s="15"/>
      <c r="E354" s="15"/>
      <c r="F354" s="15"/>
      <c r="G354" s="15"/>
      <c r="H354" s="16">
        <v>27624</v>
      </c>
      <c r="I354" s="16">
        <f t="shared" ref="I354" si="13">SUM(I198,I211,I224,I237,I250,I263,I276,I289,I302,I315,I328,I341)</f>
        <v>0</v>
      </c>
      <c r="J354" s="14"/>
      <c r="K354" s="14"/>
    </row>
    <row r="355" spans="2:11" ht="15" thickBot="1" x14ac:dyDescent="0.35">
      <c r="B355" s="18"/>
      <c r="C355" s="56" t="s">
        <v>60</v>
      </c>
      <c r="D355" s="57"/>
      <c r="E355" s="57"/>
      <c r="F355" s="57"/>
      <c r="G355" s="57"/>
      <c r="H355" s="58">
        <v>0</v>
      </c>
      <c r="I355" s="58">
        <v>0</v>
      </c>
      <c r="J355" s="59"/>
      <c r="K355" s="59"/>
    </row>
    <row r="356" spans="2:11" ht="15" thickBot="1" x14ac:dyDescent="0.35">
      <c r="B356" s="35"/>
      <c r="C356" s="11" t="s">
        <v>26</v>
      </c>
      <c r="D356" s="90"/>
      <c r="E356" s="90">
        <f>SUM(E344:E355)</f>
        <v>1155000</v>
      </c>
      <c r="F356" s="90">
        <f>SUM(F344:F355)</f>
        <v>1155800</v>
      </c>
      <c r="G356" s="90"/>
      <c r="H356" s="65">
        <f>SUM(H344:H355)</f>
        <v>832440.93</v>
      </c>
      <c r="I356" s="65">
        <f>SUM(I344:I355)</f>
        <v>100740.42</v>
      </c>
      <c r="J356" s="59"/>
      <c r="K356" s="59"/>
    </row>
    <row r="357" spans="2:11" s="17" customFormat="1" ht="15" thickBot="1" x14ac:dyDescent="0.35">
      <c r="B357" s="13">
        <v>45413</v>
      </c>
      <c r="C357" s="14" t="s">
        <v>12</v>
      </c>
      <c r="D357" s="15"/>
      <c r="E357" s="15"/>
      <c r="F357" s="15"/>
      <c r="G357" s="15"/>
      <c r="H357" s="16">
        <v>0</v>
      </c>
      <c r="I357" s="16">
        <v>0</v>
      </c>
      <c r="J357" s="14"/>
      <c r="K357" s="14"/>
    </row>
    <row r="358" spans="2:11" s="17" customFormat="1" ht="15" thickBot="1" x14ac:dyDescent="0.35">
      <c r="B358" s="18"/>
      <c r="C358" s="14" t="s">
        <v>13</v>
      </c>
      <c r="D358" s="15"/>
      <c r="E358" s="15"/>
      <c r="F358" s="15"/>
      <c r="G358" s="15"/>
      <c r="H358" s="16">
        <v>0</v>
      </c>
      <c r="I358" s="16">
        <v>0</v>
      </c>
      <c r="J358" s="14"/>
      <c r="K358" s="14"/>
    </row>
    <row r="359" spans="2:11" s="17" customFormat="1" ht="15" thickBot="1" x14ac:dyDescent="0.35">
      <c r="B359" s="18"/>
      <c r="C359" s="14" t="s">
        <v>14</v>
      </c>
      <c r="D359" s="15"/>
      <c r="E359" s="15"/>
      <c r="F359" s="15"/>
      <c r="G359" s="15"/>
      <c r="H359" s="16">
        <v>11867.16</v>
      </c>
      <c r="I359" s="16">
        <v>0</v>
      </c>
      <c r="J359" s="14"/>
      <c r="K359" s="14"/>
    </row>
    <row r="360" spans="2:11" s="17" customFormat="1" ht="15" thickBot="1" x14ac:dyDescent="0.35">
      <c r="B360" s="18"/>
      <c r="C360" s="14" t="s">
        <v>16</v>
      </c>
      <c r="D360" s="15"/>
      <c r="E360" s="15"/>
      <c r="F360" s="15">
        <v>119350</v>
      </c>
      <c r="G360" s="15"/>
      <c r="H360" s="16">
        <v>77766.720000000001</v>
      </c>
      <c r="I360" s="14">
        <v>4013.66</v>
      </c>
      <c r="J360" s="14" t="s">
        <v>77</v>
      </c>
      <c r="K360" s="14">
        <v>4013.66</v>
      </c>
    </row>
    <row r="361" spans="2:11" s="23" customFormat="1" ht="15" thickBot="1" x14ac:dyDescent="0.35">
      <c r="B361" s="18"/>
      <c r="C361" s="19" t="s">
        <v>17</v>
      </c>
      <c r="D361" s="20"/>
      <c r="E361" s="20">
        <v>119350</v>
      </c>
      <c r="F361" s="20">
        <v>306800</v>
      </c>
      <c r="G361" s="20"/>
      <c r="H361" s="107">
        <v>261796</v>
      </c>
      <c r="I361" s="50">
        <v>7656.95</v>
      </c>
      <c r="J361" s="51" t="s">
        <v>70</v>
      </c>
      <c r="K361" s="50">
        <v>7656.95</v>
      </c>
    </row>
    <row r="362" spans="2:11" s="23" customFormat="1" ht="15" thickBot="1" x14ac:dyDescent="0.35">
      <c r="B362" s="18"/>
      <c r="C362" s="19" t="s">
        <v>18</v>
      </c>
      <c r="D362" s="20"/>
      <c r="E362" s="20">
        <v>238700</v>
      </c>
      <c r="F362" s="20">
        <v>57750</v>
      </c>
      <c r="G362" s="20"/>
      <c r="H362" s="107">
        <v>125123.87</v>
      </c>
      <c r="I362" s="109">
        <v>0</v>
      </c>
      <c r="J362" s="51" t="s">
        <v>31</v>
      </c>
      <c r="K362" s="50" t="s">
        <v>31</v>
      </c>
    </row>
    <row r="363" spans="2:11" s="23" customFormat="1" ht="15" thickBot="1" x14ac:dyDescent="0.35">
      <c r="B363" s="18"/>
      <c r="C363" s="19" t="s">
        <v>19</v>
      </c>
      <c r="D363" s="20"/>
      <c r="E363" s="20">
        <v>596750</v>
      </c>
      <c r="F363" s="20">
        <v>127000</v>
      </c>
      <c r="G363" s="20"/>
      <c r="H363" s="108">
        <v>217116.48</v>
      </c>
      <c r="I363" s="53">
        <v>12240.5</v>
      </c>
      <c r="J363" s="54" t="s">
        <v>20</v>
      </c>
      <c r="K363" s="53">
        <v>12240.5</v>
      </c>
    </row>
    <row r="364" spans="2:11" ht="15" thickBot="1" x14ac:dyDescent="0.35">
      <c r="B364" s="18"/>
      <c r="C364" s="56" t="s">
        <v>21</v>
      </c>
      <c r="D364" s="57"/>
      <c r="E364" s="57"/>
      <c r="F364" s="57"/>
      <c r="G364" s="57"/>
      <c r="H364" s="58">
        <v>0</v>
      </c>
      <c r="I364" s="58">
        <v>0</v>
      </c>
      <c r="J364" s="59"/>
      <c r="K364" s="59"/>
    </row>
    <row r="365" spans="2:11" s="17" customFormat="1" ht="15" thickBot="1" x14ac:dyDescent="0.35">
      <c r="B365" s="18"/>
      <c r="C365" s="14" t="s">
        <v>22</v>
      </c>
      <c r="D365" s="15"/>
      <c r="E365" s="15">
        <v>131285</v>
      </c>
      <c r="F365" s="15">
        <v>93000</v>
      </c>
      <c r="G365" s="15"/>
      <c r="H365" s="16">
        <v>71017.97</v>
      </c>
      <c r="I365" s="16">
        <v>0</v>
      </c>
      <c r="J365" s="14"/>
      <c r="K365" s="14"/>
    </row>
    <row r="366" spans="2:11" s="23" customFormat="1" ht="15" thickBot="1" x14ac:dyDescent="0.35">
      <c r="B366" s="18"/>
      <c r="C366" s="19" t="s">
        <v>23</v>
      </c>
      <c r="D366" s="20"/>
      <c r="E366" s="20">
        <v>119350</v>
      </c>
      <c r="F366" s="20">
        <v>73100</v>
      </c>
      <c r="G366" s="20"/>
      <c r="H366" s="49">
        <v>59217.85</v>
      </c>
      <c r="I366" s="22">
        <v>0</v>
      </c>
      <c r="J366" s="19"/>
      <c r="K366" s="19"/>
    </row>
    <row r="367" spans="2:11" s="17" customFormat="1" ht="29.4" thickBot="1" x14ac:dyDescent="0.35">
      <c r="B367" s="18"/>
      <c r="C367" s="14" t="s">
        <v>24</v>
      </c>
      <c r="D367" s="15"/>
      <c r="E367" s="15"/>
      <c r="F367" s="15"/>
      <c r="G367" s="15"/>
      <c r="H367" s="16">
        <v>14349</v>
      </c>
      <c r="I367" s="16">
        <v>0</v>
      </c>
      <c r="J367" s="14"/>
      <c r="K367" s="14"/>
    </row>
    <row r="368" spans="2:11" ht="15" thickBot="1" x14ac:dyDescent="0.35">
      <c r="B368" s="18"/>
      <c r="C368" s="56" t="s">
        <v>60</v>
      </c>
      <c r="D368" s="57"/>
      <c r="E368" s="57"/>
      <c r="F368" s="57"/>
      <c r="G368" s="57"/>
      <c r="H368" s="58">
        <v>0</v>
      </c>
      <c r="I368" s="58">
        <v>0</v>
      </c>
      <c r="J368" s="59"/>
      <c r="K368" s="59"/>
    </row>
    <row r="369" spans="2:11" ht="15" thickBot="1" x14ac:dyDescent="0.35">
      <c r="B369" s="35"/>
      <c r="C369" s="11" t="s">
        <v>26</v>
      </c>
      <c r="D369" s="57"/>
      <c r="E369" s="90">
        <f>SUM(E357:E368)</f>
        <v>1205435</v>
      </c>
      <c r="F369" s="90">
        <f>SUM(F357:F368)</f>
        <v>777000</v>
      </c>
      <c r="G369" s="57"/>
      <c r="H369" s="65">
        <f>SUM(H357:H368)</f>
        <v>838255.04999999993</v>
      </c>
      <c r="I369" s="65">
        <f>SUM(I357:I368)</f>
        <v>23911.11</v>
      </c>
      <c r="J369" s="59"/>
      <c r="K369" s="59"/>
    </row>
    <row r="370" spans="2:11" s="17" customFormat="1" ht="15" thickBot="1" x14ac:dyDescent="0.35">
      <c r="B370" s="13">
        <v>45444</v>
      </c>
      <c r="C370" s="14" t="s">
        <v>12</v>
      </c>
      <c r="D370" s="15"/>
      <c r="E370" s="15"/>
      <c r="F370" s="15"/>
      <c r="G370" s="15"/>
      <c r="H370" s="16">
        <v>0</v>
      </c>
      <c r="I370" s="16">
        <v>0</v>
      </c>
      <c r="J370" s="14"/>
      <c r="K370" s="14"/>
    </row>
    <row r="371" spans="2:11" s="17" customFormat="1" ht="15" thickBot="1" x14ac:dyDescent="0.35">
      <c r="B371" s="18"/>
      <c r="C371" s="14" t="s">
        <v>13</v>
      </c>
      <c r="D371" s="15"/>
      <c r="E371" s="15"/>
      <c r="F371" s="15"/>
      <c r="G371" s="15"/>
      <c r="H371" s="16">
        <v>11299.9</v>
      </c>
      <c r="I371" s="16">
        <v>0</v>
      </c>
      <c r="J371" s="14"/>
      <c r="K371" s="14"/>
    </row>
    <row r="372" spans="2:11" s="17" customFormat="1" ht="15" thickBot="1" x14ac:dyDescent="0.35">
      <c r="B372" s="18"/>
      <c r="C372" s="14" t="s">
        <v>14</v>
      </c>
      <c r="D372" s="15"/>
      <c r="E372" s="15"/>
      <c r="F372" s="15"/>
      <c r="G372" s="15"/>
      <c r="H372" s="16">
        <v>63495.839999999997</v>
      </c>
      <c r="I372" s="16">
        <v>0</v>
      </c>
      <c r="J372" s="14"/>
      <c r="K372" s="14"/>
    </row>
    <row r="373" spans="2:11" s="17" customFormat="1" ht="15" thickBot="1" x14ac:dyDescent="0.35">
      <c r="B373" s="18"/>
      <c r="C373" s="14" t="s">
        <v>16</v>
      </c>
      <c r="D373" s="15"/>
      <c r="E373" s="15"/>
      <c r="F373" s="15">
        <v>115500</v>
      </c>
      <c r="G373" s="15"/>
      <c r="H373" s="16">
        <v>24298.66</v>
      </c>
      <c r="I373" s="16">
        <v>0</v>
      </c>
      <c r="J373" s="14"/>
      <c r="K373" s="14"/>
    </row>
    <row r="374" spans="2:11" s="23" customFormat="1" ht="15" thickBot="1" x14ac:dyDescent="0.35">
      <c r="B374" s="18"/>
      <c r="C374" s="19" t="s">
        <v>17</v>
      </c>
      <c r="D374" s="20"/>
      <c r="E374" s="20">
        <v>115500</v>
      </c>
      <c r="F374" s="20">
        <v>506000</v>
      </c>
      <c r="G374" s="20"/>
      <c r="H374" s="107">
        <v>311431.28000000003</v>
      </c>
      <c r="I374" s="22">
        <v>0</v>
      </c>
      <c r="J374" s="19"/>
      <c r="K374" s="19"/>
    </row>
    <row r="375" spans="2:11" s="23" customFormat="1" ht="15" thickBot="1" x14ac:dyDescent="0.35">
      <c r="B375" s="18"/>
      <c r="C375" s="19" t="s">
        <v>18</v>
      </c>
      <c r="D375" s="20"/>
      <c r="E375" s="20">
        <v>231000</v>
      </c>
      <c r="F375" s="20">
        <v>57750</v>
      </c>
      <c r="G375" s="20"/>
      <c r="H375" s="107">
        <v>125566.15</v>
      </c>
      <c r="I375" s="22">
        <v>0</v>
      </c>
      <c r="J375" s="19"/>
      <c r="K375" s="19"/>
    </row>
    <row r="376" spans="2:11" s="23" customFormat="1" ht="15" thickBot="1" x14ac:dyDescent="0.35">
      <c r="B376" s="18"/>
      <c r="C376" s="19" t="s">
        <v>19</v>
      </c>
      <c r="D376" s="20"/>
      <c r="E376" s="20">
        <v>577500</v>
      </c>
      <c r="F376" s="20">
        <v>306000</v>
      </c>
      <c r="G376" s="20"/>
      <c r="H376" s="108">
        <v>168054.18</v>
      </c>
      <c r="I376" s="22">
        <v>0</v>
      </c>
      <c r="J376" s="19"/>
      <c r="K376" s="19"/>
    </row>
    <row r="377" spans="2:11" ht="15" thickBot="1" x14ac:dyDescent="0.35">
      <c r="B377" s="18"/>
      <c r="C377" s="56" t="s">
        <v>21</v>
      </c>
      <c r="D377" s="57"/>
      <c r="E377" s="57"/>
      <c r="F377" s="57"/>
      <c r="G377" s="57"/>
      <c r="H377" s="58">
        <v>0</v>
      </c>
      <c r="I377" s="58">
        <v>0</v>
      </c>
      <c r="J377" s="59"/>
      <c r="K377" s="59"/>
    </row>
    <row r="378" spans="2:11" s="17" customFormat="1" ht="15" thickBot="1" x14ac:dyDescent="0.35">
      <c r="B378" s="18"/>
      <c r="C378" s="14" t="s">
        <v>22</v>
      </c>
      <c r="D378" s="15"/>
      <c r="E378" s="15">
        <v>115500</v>
      </c>
      <c r="F378" s="15">
        <v>93000</v>
      </c>
      <c r="G378" s="15"/>
      <c r="H378" s="16">
        <v>68673.73</v>
      </c>
      <c r="I378" s="16">
        <v>0</v>
      </c>
      <c r="J378" s="14"/>
      <c r="K378" s="14"/>
    </row>
    <row r="379" spans="2:11" s="23" customFormat="1" ht="15" thickBot="1" x14ac:dyDescent="0.35">
      <c r="B379" s="18"/>
      <c r="C379" s="19" t="s">
        <v>23</v>
      </c>
      <c r="D379" s="20"/>
      <c r="E379" s="20">
        <v>115500</v>
      </c>
      <c r="F379" s="20">
        <v>151100</v>
      </c>
      <c r="G379" s="20"/>
      <c r="H379" s="49">
        <v>77775.16</v>
      </c>
      <c r="I379" s="22">
        <v>0</v>
      </c>
      <c r="J379" s="19"/>
      <c r="K379" s="19"/>
    </row>
    <row r="380" spans="2:11" s="17" customFormat="1" ht="29.4" thickBot="1" x14ac:dyDescent="0.35">
      <c r="B380" s="18"/>
      <c r="C380" s="14" t="s">
        <v>24</v>
      </c>
      <c r="D380" s="15"/>
      <c r="E380" s="15">
        <v>45000</v>
      </c>
      <c r="F380" s="15"/>
      <c r="G380" s="15"/>
      <c r="H380" s="16">
        <v>2411</v>
      </c>
      <c r="I380" s="16">
        <v>0</v>
      </c>
      <c r="J380" s="14"/>
      <c r="K380" s="14"/>
    </row>
    <row r="381" spans="2:11" ht="15" thickBot="1" x14ac:dyDescent="0.35">
      <c r="B381" s="18"/>
      <c r="C381" s="56" t="s">
        <v>60</v>
      </c>
      <c r="D381" s="57"/>
      <c r="E381" s="57"/>
      <c r="F381" s="57"/>
      <c r="G381" s="57"/>
      <c r="H381" s="58">
        <v>0</v>
      </c>
      <c r="I381" s="58">
        <v>0</v>
      </c>
      <c r="J381" s="59"/>
      <c r="K381" s="59"/>
    </row>
    <row r="382" spans="2:11" ht="15" thickBot="1" x14ac:dyDescent="0.35">
      <c r="B382" s="35"/>
      <c r="C382" s="11" t="s">
        <v>26</v>
      </c>
      <c r="D382" s="57"/>
      <c r="E382" s="90">
        <f>SUM(E370:E381)</f>
        <v>1200000</v>
      </c>
      <c r="F382" s="90">
        <f>SUM(F370:F381)</f>
        <v>1229350</v>
      </c>
      <c r="G382" s="57"/>
      <c r="H382" s="65">
        <f>SUM(H370:H381)</f>
        <v>853005.9</v>
      </c>
      <c r="I382" s="65">
        <f>SUM(I370:I381)</f>
        <v>0</v>
      </c>
      <c r="J382" s="59"/>
      <c r="K382" s="59"/>
    </row>
    <row r="383" spans="2:11" s="17" customFormat="1" ht="15" thickBot="1" x14ac:dyDescent="0.35">
      <c r="B383" s="13">
        <v>45474</v>
      </c>
      <c r="C383" s="14" t="s">
        <v>12</v>
      </c>
      <c r="D383" s="15"/>
      <c r="E383" s="15"/>
      <c r="F383" s="15"/>
      <c r="G383" s="15"/>
      <c r="H383" s="16">
        <v>0</v>
      </c>
      <c r="I383" s="16">
        <v>0</v>
      </c>
      <c r="J383" s="14"/>
      <c r="K383" s="14"/>
    </row>
    <row r="384" spans="2:11" s="17" customFormat="1" ht="15" thickBot="1" x14ac:dyDescent="0.35">
      <c r="B384" s="18"/>
      <c r="C384" s="14" t="s">
        <v>13</v>
      </c>
      <c r="D384" s="15"/>
      <c r="E384" s="15"/>
      <c r="F384" s="15"/>
      <c r="G384" s="15"/>
      <c r="H384" s="16">
        <v>7550.67</v>
      </c>
      <c r="I384" s="16">
        <v>0</v>
      </c>
      <c r="J384" s="14"/>
      <c r="K384" s="14"/>
    </row>
    <row r="385" spans="2:11" s="17" customFormat="1" ht="15" thickBot="1" x14ac:dyDescent="0.35">
      <c r="B385" s="18"/>
      <c r="C385" s="14" t="s">
        <v>14</v>
      </c>
      <c r="D385" s="15"/>
      <c r="E385" s="15"/>
      <c r="F385" s="15"/>
      <c r="G385" s="15"/>
      <c r="H385" s="16">
        <v>87478.06</v>
      </c>
      <c r="I385" s="16">
        <v>0</v>
      </c>
      <c r="J385" s="14"/>
      <c r="K385" s="14"/>
    </row>
    <row r="386" spans="2:11" s="17" customFormat="1" ht="15" thickBot="1" x14ac:dyDescent="0.35">
      <c r="B386" s="18"/>
      <c r="C386" s="14" t="s">
        <v>16</v>
      </c>
      <c r="D386" s="15"/>
      <c r="E386" s="15"/>
      <c r="F386" s="15">
        <v>119350</v>
      </c>
      <c r="G386" s="15"/>
      <c r="H386" s="16">
        <v>16145.35</v>
      </c>
      <c r="I386" s="16">
        <v>0</v>
      </c>
      <c r="J386" s="14"/>
      <c r="K386" s="14"/>
    </row>
    <row r="387" spans="2:11" s="23" customFormat="1" ht="15" thickBot="1" x14ac:dyDescent="0.35">
      <c r="B387" s="18"/>
      <c r="C387" s="19" t="s">
        <v>17</v>
      </c>
      <c r="D387" s="20"/>
      <c r="E387" s="20">
        <v>119350</v>
      </c>
      <c r="F387" s="20">
        <v>432600</v>
      </c>
      <c r="G387" s="20"/>
      <c r="H387" s="49">
        <v>286590.5</v>
      </c>
      <c r="I387" s="22">
        <v>0</v>
      </c>
      <c r="J387" s="19"/>
      <c r="K387" s="19"/>
    </row>
    <row r="388" spans="2:11" s="23" customFormat="1" ht="15" thickBot="1" x14ac:dyDescent="0.35">
      <c r="B388" s="18"/>
      <c r="C388" s="19" t="s">
        <v>18</v>
      </c>
      <c r="D388" s="20"/>
      <c r="E388" s="20">
        <v>238700</v>
      </c>
      <c r="F388" s="20">
        <v>38500</v>
      </c>
      <c r="G388" s="20"/>
      <c r="H388" s="49">
        <v>187681.76</v>
      </c>
      <c r="I388" s="22">
        <v>0</v>
      </c>
      <c r="J388" s="19"/>
      <c r="K388" s="19"/>
    </row>
    <row r="389" spans="2:11" s="23" customFormat="1" ht="15" thickBot="1" x14ac:dyDescent="0.35">
      <c r="B389" s="18"/>
      <c r="C389" s="19" t="s">
        <v>19</v>
      </c>
      <c r="D389" s="20"/>
      <c r="E389" s="20">
        <v>596750</v>
      </c>
      <c r="F389" s="20">
        <v>325200</v>
      </c>
      <c r="G389" s="20"/>
      <c r="H389" s="52">
        <v>98158.91</v>
      </c>
      <c r="I389" s="22">
        <v>0</v>
      </c>
      <c r="J389" s="19"/>
      <c r="K389" s="19"/>
    </row>
    <row r="390" spans="2:11" ht="15" thickBot="1" x14ac:dyDescent="0.35">
      <c r="B390" s="18"/>
      <c r="C390" s="56" t="s">
        <v>21</v>
      </c>
      <c r="D390" s="57"/>
      <c r="E390" s="57"/>
      <c r="F390" s="57"/>
      <c r="G390" s="57"/>
      <c r="H390" s="58">
        <v>0</v>
      </c>
      <c r="I390" s="58">
        <v>0</v>
      </c>
      <c r="J390" s="59"/>
      <c r="K390" s="59"/>
    </row>
    <row r="391" spans="2:11" s="17" customFormat="1" ht="15" thickBot="1" x14ac:dyDescent="0.35">
      <c r="B391" s="18"/>
      <c r="C391" s="14" t="s">
        <v>22</v>
      </c>
      <c r="D391" s="15"/>
      <c r="E391" s="15">
        <v>119350</v>
      </c>
      <c r="F391" s="15">
        <v>93000</v>
      </c>
      <c r="G391" s="15"/>
      <c r="H391" s="16">
        <v>44662.75</v>
      </c>
      <c r="I391" s="16">
        <v>0</v>
      </c>
      <c r="J391" s="14"/>
      <c r="K391" s="14"/>
    </row>
    <row r="392" spans="2:11" s="23" customFormat="1" ht="15" thickBot="1" x14ac:dyDescent="0.35">
      <c r="B392" s="18"/>
      <c r="C392" s="19" t="s">
        <v>23</v>
      </c>
      <c r="D392" s="20"/>
      <c r="E392" s="20">
        <v>119350</v>
      </c>
      <c r="F392" s="20">
        <v>79000</v>
      </c>
      <c r="G392" s="20"/>
      <c r="H392" s="49">
        <v>65996.639999999999</v>
      </c>
      <c r="I392" s="22">
        <v>0</v>
      </c>
      <c r="J392" s="19"/>
      <c r="K392" s="19"/>
    </row>
    <row r="393" spans="2:11" s="17" customFormat="1" ht="29.4" thickBot="1" x14ac:dyDescent="0.35">
      <c r="B393" s="18"/>
      <c r="C393" s="14" t="s">
        <v>24</v>
      </c>
      <c r="D393" s="15"/>
      <c r="E393" s="15">
        <v>46500</v>
      </c>
      <c r="F393" s="15"/>
      <c r="G393" s="15"/>
      <c r="H393" s="16">
        <v>0</v>
      </c>
      <c r="I393" s="16">
        <v>0</v>
      </c>
      <c r="J393" s="14"/>
      <c r="K393" s="14"/>
    </row>
    <row r="394" spans="2:11" ht="15" thickBot="1" x14ac:dyDescent="0.35">
      <c r="B394" s="18"/>
      <c r="C394" s="56" t="s">
        <v>60</v>
      </c>
      <c r="D394" s="57"/>
      <c r="E394" s="57"/>
      <c r="F394" s="57"/>
      <c r="G394" s="57"/>
      <c r="H394" s="58">
        <v>0</v>
      </c>
      <c r="I394" s="58">
        <v>0</v>
      </c>
      <c r="J394" s="59"/>
      <c r="K394" s="59"/>
    </row>
    <row r="395" spans="2:11" ht="15" thickBot="1" x14ac:dyDescent="0.35">
      <c r="B395" s="35"/>
      <c r="C395" s="11" t="s">
        <v>26</v>
      </c>
      <c r="D395" s="57"/>
      <c r="E395" s="90">
        <f>SUM(E383:E394)</f>
        <v>1240000</v>
      </c>
      <c r="F395" s="90">
        <f>SUM(F383:F394)</f>
        <v>1087650</v>
      </c>
      <c r="G395" s="57"/>
      <c r="H395" s="65">
        <f>SUM(H383:H394)</f>
        <v>794264.64000000013</v>
      </c>
      <c r="I395" s="65">
        <f>SUM(I383:I394)</f>
        <v>0</v>
      </c>
      <c r="J395" s="59"/>
      <c r="K395" s="59"/>
    </row>
    <row r="396" spans="2:11" s="17" customFormat="1" ht="15" thickBot="1" x14ac:dyDescent="0.35">
      <c r="B396" s="13">
        <v>45505</v>
      </c>
      <c r="C396" s="14" t="s">
        <v>12</v>
      </c>
      <c r="D396" s="15"/>
      <c r="E396" s="15"/>
      <c r="F396" s="15">
        <v>119350</v>
      </c>
      <c r="G396" s="15"/>
      <c r="H396" s="16">
        <v>0</v>
      </c>
      <c r="I396" s="16">
        <v>0</v>
      </c>
      <c r="J396" s="14"/>
      <c r="K396" s="14"/>
    </row>
    <row r="397" spans="2:11" s="17" customFormat="1" ht="15" thickBot="1" x14ac:dyDescent="0.35">
      <c r="B397" s="18"/>
      <c r="C397" s="14" t="s">
        <v>13</v>
      </c>
      <c r="D397" s="15"/>
      <c r="E397" s="15"/>
      <c r="F397" s="15">
        <v>231000</v>
      </c>
      <c r="G397" s="15"/>
      <c r="H397" s="16">
        <v>11719.29</v>
      </c>
      <c r="I397" s="62">
        <v>11376.1</v>
      </c>
      <c r="J397" s="14" t="s">
        <v>78</v>
      </c>
      <c r="K397" s="14" t="s">
        <v>79</v>
      </c>
    </row>
    <row r="398" spans="2:11" s="17" customFormat="1" ht="15" thickBot="1" x14ac:dyDescent="0.35">
      <c r="B398" s="18"/>
      <c r="C398" s="14" t="s">
        <v>14</v>
      </c>
      <c r="D398" s="15"/>
      <c r="E398" s="15"/>
      <c r="F398" s="15"/>
      <c r="G398" s="15"/>
      <c r="H398" s="16">
        <v>36026.6</v>
      </c>
      <c r="I398" s="16">
        <v>0</v>
      </c>
      <c r="J398" s="14"/>
      <c r="K398" s="14"/>
    </row>
    <row r="399" spans="2:11" s="17" customFormat="1" ht="15" thickBot="1" x14ac:dyDescent="0.35">
      <c r="B399" s="18"/>
      <c r="C399" s="14" t="s">
        <v>16</v>
      </c>
      <c r="D399" s="15"/>
      <c r="E399" s="15"/>
      <c r="F399" s="15">
        <v>119350</v>
      </c>
      <c r="G399" s="15"/>
      <c r="H399" s="16">
        <v>88811.54</v>
      </c>
      <c r="I399" s="14">
        <v>3946.8</v>
      </c>
      <c r="J399" s="14" t="s">
        <v>29</v>
      </c>
      <c r="K399" s="14">
        <v>3946.8</v>
      </c>
    </row>
    <row r="400" spans="2:11" s="23" customFormat="1" ht="15" thickBot="1" x14ac:dyDescent="0.35">
      <c r="B400" s="18"/>
      <c r="C400" s="19" t="s">
        <v>17</v>
      </c>
      <c r="D400" s="20"/>
      <c r="E400" s="20">
        <v>119350</v>
      </c>
      <c r="F400" s="20">
        <v>341200</v>
      </c>
      <c r="G400" s="20"/>
      <c r="H400" s="49">
        <v>312133.78000000003</v>
      </c>
      <c r="I400" s="22">
        <v>0</v>
      </c>
      <c r="J400" s="19"/>
      <c r="K400" s="19"/>
    </row>
    <row r="401" spans="2:11" s="23" customFormat="1" ht="15" thickBot="1" x14ac:dyDescent="0.35">
      <c r="B401" s="18"/>
      <c r="C401" s="19" t="s">
        <v>18</v>
      </c>
      <c r="D401" s="20"/>
      <c r="E401" s="20">
        <v>238700</v>
      </c>
      <c r="F401" s="20">
        <v>17200</v>
      </c>
      <c r="G401" s="20"/>
      <c r="H401" s="49">
        <v>177884.09</v>
      </c>
      <c r="I401" s="22">
        <v>0</v>
      </c>
      <c r="J401" s="19"/>
      <c r="K401" s="19"/>
    </row>
    <row r="402" spans="2:11" s="23" customFormat="1" ht="15" thickBot="1" x14ac:dyDescent="0.35">
      <c r="B402" s="18"/>
      <c r="C402" s="19" t="s">
        <v>19</v>
      </c>
      <c r="D402" s="20"/>
      <c r="E402" s="20">
        <v>596750</v>
      </c>
      <c r="F402" s="20">
        <v>102100</v>
      </c>
      <c r="G402" s="20"/>
      <c r="H402" s="52">
        <v>75917.86</v>
      </c>
      <c r="I402" s="22">
        <v>0</v>
      </c>
      <c r="J402" s="19"/>
      <c r="K402" s="19"/>
    </row>
    <row r="403" spans="2:11" ht="15" thickBot="1" x14ac:dyDescent="0.35">
      <c r="B403" s="18"/>
      <c r="C403" s="56" t="s">
        <v>21</v>
      </c>
      <c r="D403" s="57"/>
      <c r="E403" s="57"/>
      <c r="F403" s="57"/>
      <c r="G403" s="57"/>
      <c r="H403" s="58">
        <v>0</v>
      </c>
      <c r="I403" s="58">
        <v>0</v>
      </c>
      <c r="J403" s="59"/>
      <c r="K403" s="59"/>
    </row>
    <row r="404" spans="2:11" s="17" customFormat="1" ht="15" thickBot="1" x14ac:dyDescent="0.35">
      <c r="B404" s="18"/>
      <c r="C404" s="14" t="s">
        <v>22</v>
      </c>
      <c r="D404" s="15"/>
      <c r="E404" s="15">
        <v>119350</v>
      </c>
      <c r="F404" s="15">
        <v>93000</v>
      </c>
      <c r="G404" s="15"/>
      <c r="H404" s="16">
        <v>18099.48</v>
      </c>
      <c r="I404" s="16">
        <v>0</v>
      </c>
      <c r="J404" s="14"/>
      <c r="K404" s="14"/>
    </row>
    <row r="405" spans="2:11" s="23" customFormat="1" ht="15" thickBot="1" x14ac:dyDescent="0.35">
      <c r="B405" s="18"/>
      <c r="C405" s="19" t="s">
        <v>23</v>
      </c>
      <c r="D405" s="20"/>
      <c r="E405" s="20">
        <v>119350</v>
      </c>
      <c r="F405" s="20">
        <v>65400</v>
      </c>
      <c r="G405" s="20"/>
      <c r="H405" s="49">
        <v>68546.350000000006</v>
      </c>
      <c r="I405" s="110">
        <v>0</v>
      </c>
      <c r="J405" s="19"/>
      <c r="K405" s="19"/>
    </row>
    <row r="406" spans="2:11" s="17" customFormat="1" ht="29.4" thickBot="1" x14ac:dyDescent="0.35">
      <c r="B406" s="18"/>
      <c r="C406" s="14" t="s">
        <v>24</v>
      </c>
      <c r="D406" s="15"/>
      <c r="E406" s="15">
        <v>46500</v>
      </c>
      <c r="F406" s="15"/>
      <c r="G406" s="15"/>
      <c r="H406" s="16">
        <v>0</v>
      </c>
      <c r="I406" s="16">
        <v>0</v>
      </c>
      <c r="J406" s="14"/>
      <c r="K406" s="14"/>
    </row>
    <row r="407" spans="2:11" ht="15" thickBot="1" x14ac:dyDescent="0.35">
      <c r="B407" s="18"/>
      <c r="C407" s="56" t="s">
        <v>60</v>
      </c>
      <c r="D407" s="57"/>
      <c r="E407" s="57"/>
      <c r="F407" s="57"/>
      <c r="G407" s="57"/>
      <c r="H407" s="58">
        <v>0</v>
      </c>
      <c r="I407" s="58">
        <v>0</v>
      </c>
      <c r="J407" s="59"/>
      <c r="K407" s="59"/>
    </row>
    <row r="408" spans="2:11" ht="15" thickBot="1" x14ac:dyDescent="0.35">
      <c r="B408" s="35"/>
      <c r="C408" s="11" t="s">
        <v>26</v>
      </c>
      <c r="D408" s="57"/>
      <c r="E408" s="90">
        <f>SUM(E396:E407)</f>
        <v>1240000</v>
      </c>
      <c r="F408" s="90">
        <f>SUM(F396:F407)</f>
        <v>1088600</v>
      </c>
      <c r="G408" s="57"/>
      <c r="H408" s="65">
        <f>SUM(H396:H407)</f>
        <v>789138.99</v>
      </c>
      <c r="I408" s="65">
        <f>SUM(I396:I407)</f>
        <v>15322.900000000001</v>
      </c>
      <c r="J408" s="59"/>
      <c r="K408" s="59"/>
    </row>
    <row r="409" spans="2:11" s="17" customFormat="1" ht="15" thickBot="1" x14ac:dyDescent="0.35">
      <c r="B409" s="13">
        <v>45536</v>
      </c>
      <c r="C409" s="14" t="s">
        <v>12</v>
      </c>
      <c r="D409" s="15"/>
      <c r="E409" s="15"/>
      <c r="F409" s="15">
        <v>0</v>
      </c>
      <c r="G409" s="15"/>
      <c r="H409" s="16">
        <v>0</v>
      </c>
      <c r="I409" s="16">
        <v>0</v>
      </c>
      <c r="J409" s="14"/>
      <c r="K409" s="14"/>
    </row>
    <row r="410" spans="2:11" s="17" customFormat="1" ht="15" thickBot="1" x14ac:dyDescent="0.35">
      <c r="B410" s="18"/>
      <c r="C410" s="14" t="s">
        <v>13</v>
      </c>
      <c r="D410" s="15"/>
      <c r="E410" s="15"/>
      <c r="F410" s="15">
        <v>57750</v>
      </c>
      <c r="G410" s="15"/>
      <c r="H410" s="16">
        <v>108850.94</v>
      </c>
      <c r="I410" s="16">
        <v>0</v>
      </c>
      <c r="J410" s="14"/>
      <c r="K410" s="14"/>
    </row>
    <row r="411" spans="2:11" s="17" customFormat="1" ht="15" thickBot="1" x14ac:dyDescent="0.35">
      <c r="B411" s="18"/>
      <c r="C411" s="14" t="s">
        <v>14</v>
      </c>
      <c r="D411" s="15"/>
      <c r="E411" s="15"/>
      <c r="F411" s="15">
        <v>115500</v>
      </c>
      <c r="G411" s="15"/>
      <c r="H411" s="16">
        <v>127441.44</v>
      </c>
      <c r="I411" s="16">
        <v>0</v>
      </c>
      <c r="J411" s="14"/>
      <c r="K411" s="14"/>
    </row>
    <row r="412" spans="2:11" s="17" customFormat="1" ht="15" thickBot="1" x14ac:dyDescent="0.35">
      <c r="B412" s="18"/>
      <c r="C412" s="14" t="s">
        <v>16</v>
      </c>
      <c r="D412" s="15"/>
      <c r="E412" s="15"/>
      <c r="F412" s="15">
        <v>115500</v>
      </c>
      <c r="G412" s="15"/>
      <c r="H412" s="16">
        <v>77451.149999999994</v>
      </c>
      <c r="I412" s="16">
        <v>0</v>
      </c>
      <c r="J412" s="14"/>
      <c r="K412" s="14"/>
    </row>
    <row r="413" spans="2:11" s="23" customFormat="1" ht="15" thickBot="1" x14ac:dyDescent="0.35">
      <c r="B413" s="18"/>
      <c r="C413" s="19" t="s">
        <v>17</v>
      </c>
      <c r="D413" s="20"/>
      <c r="E413" s="20">
        <v>115500</v>
      </c>
      <c r="F413" s="20">
        <v>54500</v>
      </c>
      <c r="G413" s="20"/>
      <c r="H413" s="107">
        <v>145764.28</v>
      </c>
      <c r="I413" s="22">
        <v>0</v>
      </c>
      <c r="J413" s="19"/>
      <c r="K413" s="19"/>
    </row>
    <row r="414" spans="2:11" s="23" customFormat="1" ht="15" thickBot="1" x14ac:dyDescent="0.35">
      <c r="B414" s="18"/>
      <c r="C414" s="19" t="s">
        <v>18</v>
      </c>
      <c r="D414" s="20"/>
      <c r="E414" s="20">
        <v>231000</v>
      </c>
      <c r="F414" s="20">
        <v>7700</v>
      </c>
      <c r="G414" s="20"/>
      <c r="H414" s="107">
        <v>92291.27</v>
      </c>
      <c r="I414" s="22">
        <v>0</v>
      </c>
      <c r="J414" s="19"/>
      <c r="K414" s="19"/>
    </row>
    <row r="415" spans="2:11" s="23" customFormat="1" ht="15" thickBot="1" x14ac:dyDescent="0.35">
      <c r="B415" s="18"/>
      <c r="C415" s="19" t="s">
        <v>19</v>
      </c>
      <c r="D415" s="20"/>
      <c r="E415" s="20">
        <v>577500</v>
      </c>
      <c r="F415" s="20">
        <v>23600</v>
      </c>
      <c r="G415" s="20"/>
      <c r="H415" s="107">
        <v>165029.14000000001</v>
      </c>
      <c r="I415" s="50">
        <v>3893.6</v>
      </c>
      <c r="J415" s="51" t="s">
        <v>20</v>
      </c>
      <c r="K415" s="50">
        <v>3893.6</v>
      </c>
    </row>
    <row r="416" spans="2:11" ht="15" thickBot="1" x14ac:dyDescent="0.35">
      <c r="B416" s="18"/>
      <c r="C416" s="56" t="s">
        <v>21</v>
      </c>
      <c r="D416" s="57"/>
      <c r="E416" s="57"/>
      <c r="F416" s="57"/>
      <c r="G416" s="57"/>
      <c r="H416" s="58">
        <v>0</v>
      </c>
      <c r="I416" s="58">
        <v>0</v>
      </c>
      <c r="J416" s="59"/>
      <c r="K416" s="59"/>
    </row>
    <row r="417" spans="2:11" s="17" customFormat="1" ht="15" thickBot="1" x14ac:dyDescent="0.35">
      <c r="B417" s="18"/>
      <c r="C417" s="14" t="s">
        <v>22</v>
      </c>
      <c r="D417" s="15"/>
      <c r="E417" s="15">
        <v>115500</v>
      </c>
      <c r="F417" s="15">
        <v>115500</v>
      </c>
      <c r="G417" s="15"/>
      <c r="H417" s="16">
        <v>14626.92</v>
      </c>
      <c r="I417" s="16">
        <v>0</v>
      </c>
      <c r="J417" s="14"/>
      <c r="K417" s="14"/>
    </row>
    <row r="418" spans="2:11" s="23" customFormat="1" ht="15" thickBot="1" x14ac:dyDescent="0.35">
      <c r="B418" s="18"/>
      <c r="C418" s="19" t="s">
        <v>23</v>
      </c>
      <c r="D418" s="20"/>
      <c r="E418" s="20">
        <v>115500</v>
      </c>
      <c r="F418" s="20">
        <v>12000</v>
      </c>
      <c r="G418" s="20"/>
      <c r="H418" s="49">
        <v>35834.71</v>
      </c>
      <c r="I418" s="22">
        <v>0</v>
      </c>
      <c r="J418" s="19"/>
      <c r="K418" s="19"/>
    </row>
    <row r="419" spans="2:11" s="17" customFormat="1" ht="29.4" thickBot="1" x14ac:dyDescent="0.35">
      <c r="B419" s="18"/>
      <c r="C419" s="14" t="s">
        <v>24</v>
      </c>
      <c r="D419" s="15"/>
      <c r="E419" s="15">
        <v>45000</v>
      </c>
      <c r="F419" s="15">
        <v>45000</v>
      </c>
      <c r="G419" s="15"/>
      <c r="H419" s="16">
        <v>972</v>
      </c>
      <c r="I419" s="16">
        <v>0</v>
      </c>
      <c r="J419" s="14"/>
      <c r="K419" s="14"/>
    </row>
    <row r="420" spans="2:11" ht="15" thickBot="1" x14ac:dyDescent="0.35">
      <c r="B420" s="18"/>
      <c r="C420" s="56" t="s">
        <v>60</v>
      </c>
      <c r="D420" s="57"/>
      <c r="E420" s="57"/>
      <c r="F420" s="57"/>
      <c r="G420" s="57"/>
      <c r="H420" s="58">
        <v>0</v>
      </c>
      <c r="I420" s="58">
        <v>0</v>
      </c>
      <c r="J420" s="59"/>
      <c r="K420" s="59"/>
    </row>
    <row r="421" spans="2:11" ht="15" thickBot="1" x14ac:dyDescent="0.35">
      <c r="B421" s="35"/>
      <c r="C421" s="11" t="s">
        <v>26</v>
      </c>
      <c r="D421" s="57"/>
      <c r="E421" s="90">
        <f>SUM(E409:E420)</f>
        <v>1200000</v>
      </c>
      <c r="F421" s="90">
        <f>SUM(F409:F420)</f>
        <v>547050</v>
      </c>
      <c r="G421" s="57"/>
      <c r="H421" s="65">
        <f>SUM(H409:H420)</f>
        <v>768261.85000000009</v>
      </c>
      <c r="I421" s="65">
        <f>SUM(I409:I420)</f>
        <v>3893.6</v>
      </c>
      <c r="J421" s="59"/>
      <c r="K421" s="59"/>
    </row>
    <row r="422" spans="2:11" s="17" customFormat="1" ht="15" thickBot="1" x14ac:dyDescent="0.35">
      <c r="B422" s="13">
        <v>45566</v>
      </c>
      <c r="C422" s="14" t="s">
        <v>12</v>
      </c>
      <c r="D422" s="15"/>
      <c r="E422" s="15"/>
      <c r="F422" s="15">
        <v>0</v>
      </c>
      <c r="G422" s="15"/>
      <c r="H422" s="16">
        <v>0</v>
      </c>
      <c r="I422" s="16">
        <v>0</v>
      </c>
      <c r="J422" s="14"/>
      <c r="K422" s="14"/>
    </row>
    <row r="423" spans="2:11" s="17" customFormat="1" ht="15" thickBot="1" x14ac:dyDescent="0.35">
      <c r="B423" s="18"/>
      <c r="C423" s="14" t="s">
        <v>13</v>
      </c>
      <c r="D423" s="15"/>
      <c r="E423" s="15"/>
      <c r="F423" s="15">
        <v>57750</v>
      </c>
      <c r="G423" s="15"/>
      <c r="H423" s="16">
        <v>87712.73</v>
      </c>
      <c r="I423" s="16">
        <v>0</v>
      </c>
      <c r="J423" s="14"/>
      <c r="K423" s="14"/>
    </row>
    <row r="424" spans="2:11" s="17" customFormat="1" ht="15" thickBot="1" x14ac:dyDescent="0.35">
      <c r="B424" s="18"/>
      <c r="C424" s="14" t="s">
        <v>14</v>
      </c>
      <c r="D424" s="15"/>
      <c r="E424" s="15">
        <v>124000</v>
      </c>
      <c r="F424" s="15">
        <v>173250</v>
      </c>
      <c r="G424" s="15"/>
      <c r="H424" s="16">
        <v>123021.43</v>
      </c>
      <c r="I424" s="16">
        <v>0</v>
      </c>
      <c r="J424" s="14"/>
      <c r="K424" s="14"/>
    </row>
    <row r="425" spans="2:11" s="17" customFormat="1" ht="15" thickBot="1" x14ac:dyDescent="0.35">
      <c r="B425" s="18"/>
      <c r="C425" s="14" t="s">
        <v>16</v>
      </c>
      <c r="D425" s="15"/>
      <c r="E425" s="15"/>
      <c r="F425" s="15">
        <v>119350</v>
      </c>
      <c r="G425" s="15"/>
      <c r="H425" s="16">
        <v>60824.13</v>
      </c>
      <c r="I425" s="14">
        <v>3964.85</v>
      </c>
      <c r="J425" s="14" t="s">
        <v>29</v>
      </c>
      <c r="K425" s="14">
        <v>3964.85</v>
      </c>
    </row>
    <row r="426" spans="2:11" s="23" customFormat="1" ht="15" thickBot="1" x14ac:dyDescent="0.35">
      <c r="B426" s="18"/>
      <c r="C426" s="19" t="s">
        <v>17</v>
      </c>
      <c r="D426" s="20"/>
      <c r="E426" s="20">
        <v>93000</v>
      </c>
      <c r="F426" s="20">
        <v>148800</v>
      </c>
      <c r="G426" s="20"/>
      <c r="H426" s="49">
        <v>121749.69</v>
      </c>
      <c r="I426" s="22">
        <v>0</v>
      </c>
      <c r="J426" s="19"/>
      <c r="K426" s="19"/>
    </row>
    <row r="427" spans="2:11" s="23" customFormat="1" ht="15" thickBot="1" x14ac:dyDescent="0.35">
      <c r="B427" s="18"/>
      <c r="C427" s="19" t="s">
        <v>18</v>
      </c>
      <c r="D427" s="20"/>
      <c r="E427" s="20">
        <v>434000</v>
      </c>
      <c r="F427" s="20">
        <v>127050</v>
      </c>
      <c r="G427" s="20"/>
      <c r="H427" s="49">
        <v>118855.82</v>
      </c>
      <c r="I427" s="22">
        <v>0</v>
      </c>
      <c r="J427" s="19"/>
      <c r="K427" s="19"/>
    </row>
    <row r="428" spans="2:11" s="23" customFormat="1" ht="15" thickBot="1" x14ac:dyDescent="0.35">
      <c r="B428" s="18"/>
      <c r="C428" s="19" t="s">
        <v>19</v>
      </c>
      <c r="D428" s="20"/>
      <c r="E428" s="20">
        <v>248000</v>
      </c>
      <c r="F428" s="20">
        <v>60300</v>
      </c>
      <c r="G428" s="20"/>
      <c r="H428" s="52">
        <v>160325.6</v>
      </c>
      <c r="I428" s="22">
        <v>0</v>
      </c>
      <c r="J428" s="19"/>
      <c r="K428" s="19"/>
    </row>
    <row r="429" spans="2:11" ht="15" thickBot="1" x14ac:dyDescent="0.35">
      <c r="B429" s="18"/>
      <c r="C429" s="56" t="s">
        <v>21</v>
      </c>
      <c r="D429" s="57"/>
      <c r="E429" s="57"/>
      <c r="F429" s="57"/>
      <c r="G429" s="57"/>
      <c r="H429" s="58">
        <v>0</v>
      </c>
      <c r="I429" s="58">
        <v>0</v>
      </c>
      <c r="J429" s="59"/>
      <c r="K429" s="59"/>
    </row>
    <row r="430" spans="2:11" s="17" customFormat="1" ht="15" thickBot="1" x14ac:dyDescent="0.35">
      <c r="B430" s="18"/>
      <c r="C430" s="14" t="s">
        <v>22</v>
      </c>
      <c r="D430" s="15"/>
      <c r="E430" s="15"/>
      <c r="F430" s="15">
        <v>93000</v>
      </c>
      <c r="G430" s="15"/>
      <c r="H430" s="16">
        <v>60108.07</v>
      </c>
      <c r="I430" s="16">
        <v>0</v>
      </c>
      <c r="J430" s="14"/>
      <c r="K430" s="14"/>
    </row>
    <row r="431" spans="2:11" s="23" customFormat="1" ht="15" thickBot="1" x14ac:dyDescent="0.35">
      <c r="B431" s="18"/>
      <c r="C431" s="19" t="s">
        <v>23</v>
      </c>
      <c r="D431" s="20"/>
      <c r="E431" s="20"/>
      <c r="F431" s="20">
        <v>16900</v>
      </c>
      <c r="G431" s="20"/>
      <c r="H431" s="49">
        <v>34083.51</v>
      </c>
      <c r="I431" s="22">
        <v>0</v>
      </c>
      <c r="J431" s="19"/>
      <c r="K431" s="19"/>
    </row>
    <row r="432" spans="2:11" s="17" customFormat="1" ht="29.4" thickBot="1" x14ac:dyDescent="0.35">
      <c r="B432" s="18"/>
      <c r="C432" s="14" t="s">
        <v>24</v>
      </c>
      <c r="D432" s="15"/>
      <c r="E432" s="15">
        <v>93000</v>
      </c>
      <c r="F432" s="15">
        <v>45000</v>
      </c>
      <c r="G432" s="15"/>
      <c r="H432" s="16">
        <v>0</v>
      </c>
      <c r="I432" s="16">
        <v>0</v>
      </c>
      <c r="J432" s="14"/>
      <c r="K432" s="14"/>
    </row>
    <row r="433" spans="2:11" ht="15" thickBot="1" x14ac:dyDescent="0.35">
      <c r="B433" s="18"/>
      <c r="C433" s="56" t="s">
        <v>80</v>
      </c>
      <c r="D433" s="57"/>
      <c r="E433" s="57"/>
      <c r="F433" s="57">
        <v>0</v>
      </c>
      <c r="G433" s="57"/>
      <c r="H433" s="58">
        <v>0</v>
      </c>
      <c r="I433" s="58">
        <v>0</v>
      </c>
      <c r="J433" s="59"/>
      <c r="K433" s="59"/>
    </row>
    <row r="434" spans="2:11" ht="15" thickBot="1" x14ac:dyDescent="0.35">
      <c r="B434" s="35"/>
      <c r="C434" s="11" t="s">
        <v>26</v>
      </c>
      <c r="D434" s="57"/>
      <c r="E434" s="90">
        <f>SUM(E422:E433)</f>
        <v>992000</v>
      </c>
      <c r="F434" s="90">
        <f>SUM(F422:F433)</f>
        <v>841400</v>
      </c>
      <c r="G434" s="57"/>
      <c r="H434" s="65">
        <f>SUM(H422:H433)</f>
        <v>766680.98</v>
      </c>
      <c r="I434" s="65">
        <f>SUM(I422:I433)</f>
        <v>3964.85</v>
      </c>
      <c r="J434" s="59"/>
      <c r="K434" s="59"/>
    </row>
    <row r="435" spans="2:11" s="17" customFormat="1" ht="15" thickBot="1" x14ac:dyDescent="0.35">
      <c r="B435" s="102" t="s">
        <v>81</v>
      </c>
      <c r="C435" s="14" t="s">
        <v>12</v>
      </c>
      <c r="D435" s="15"/>
      <c r="E435" s="15">
        <f t="shared" ref="E435:F446" si="14">+E344+E357+E370+E383+E396+E409+E422</f>
        <v>0</v>
      </c>
      <c r="F435" s="15">
        <f t="shared" si="14"/>
        <v>119350</v>
      </c>
      <c r="G435" s="15"/>
      <c r="H435" s="16">
        <v>0</v>
      </c>
      <c r="I435" s="16">
        <v>0</v>
      </c>
      <c r="J435" s="14"/>
      <c r="K435" s="14"/>
    </row>
    <row r="436" spans="2:11" s="17" customFormat="1" ht="15" thickBot="1" x14ac:dyDescent="0.35">
      <c r="B436" s="103"/>
      <c r="C436" s="14" t="s">
        <v>13</v>
      </c>
      <c r="D436" s="15"/>
      <c r="E436" s="15">
        <f t="shared" si="14"/>
        <v>0</v>
      </c>
      <c r="F436" s="15">
        <f t="shared" si="14"/>
        <v>346500</v>
      </c>
      <c r="G436" s="15"/>
      <c r="H436" s="16">
        <v>227133.53</v>
      </c>
      <c r="I436" s="16">
        <f t="shared" ref="I436:I438" si="15">SUM(I345,I358,I371,I384,I397,I410,I423)</f>
        <v>11376.1</v>
      </c>
      <c r="J436" s="14"/>
      <c r="K436" s="14"/>
    </row>
    <row r="437" spans="2:11" s="17" customFormat="1" ht="15" thickBot="1" x14ac:dyDescent="0.35">
      <c r="B437" s="103"/>
      <c r="C437" s="14" t="s">
        <v>14</v>
      </c>
      <c r="D437" s="15"/>
      <c r="E437" s="15">
        <f t="shared" si="14"/>
        <v>124000</v>
      </c>
      <c r="F437" s="15">
        <f t="shared" si="14"/>
        <v>288750</v>
      </c>
      <c r="G437" s="15"/>
      <c r="H437" s="16">
        <v>449330.53</v>
      </c>
      <c r="I437" s="14">
        <f t="shared" si="15"/>
        <v>35738.619999999995</v>
      </c>
      <c r="J437" s="14"/>
      <c r="K437" s="14"/>
    </row>
    <row r="438" spans="2:11" s="17" customFormat="1" ht="15" thickBot="1" x14ac:dyDescent="0.35">
      <c r="B438" s="103"/>
      <c r="C438" s="14" t="s">
        <v>16</v>
      </c>
      <c r="D438" s="15"/>
      <c r="E438" s="15">
        <f t="shared" si="14"/>
        <v>0</v>
      </c>
      <c r="F438" s="15">
        <f>+F347+F360+F373+F386+F399+F412+F425</f>
        <v>823900</v>
      </c>
      <c r="G438" s="15"/>
      <c r="H438" s="16">
        <v>406582.95</v>
      </c>
      <c r="I438" s="14">
        <f t="shared" si="15"/>
        <v>20017.809999999998</v>
      </c>
      <c r="J438" s="14"/>
      <c r="K438" s="14"/>
    </row>
    <row r="439" spans="2:11" s="23" customFormat="1" ht="15" thickBot="1" x14ac:dyDescent="0.35">
      <c r="B439" s="103"/>
      <c r="C439" s="19" t="s">
        <v>17</v>
      </c>
      <c r="D439" s="20"/>
      <c r="E439" s="20">
        <f t="shared" si="14"/>
        <v>797550</v>
      </c>
      <c r="F439" s="20">
        <f t="shared" si="14"/>
        <v>2111600</v>
      </c>
      <c r="G439" s="20"/>
      <c r="H439" s="22">
        <f>SUM(H348,H361,H374,H387,H400,H413,H426)</f>
        <v>1733960.45</v>
      </c>
      <c r="I439" s="19">
        <f>SUM(I348,I361,I374,I387,I400,I413,I426)</f>
        <v>64566.25</v>
      </c>
      <c r="J439" s="19"/>
      <c r="K439" s="19">
        <f>I439</f>
        <v>64566.25</v>
      </c>
    </row>
    <row r="440" spans="2:11" s="23" customFormat="1" ht="15" thickBot="1" x14ac:dyDescent="0.35">
      <c r="B440" s="103"/>
      <c r="C440" s="19" t="s">
        <v>18</v>
      </c>
      <c r="D440" s="20"/>
      <c r="E440" s="20">
        <f t="shared" si="14"/>
        <v>1727600</v>
      </c>
      <c r="F440" s="20">
        <f t="shared" si="14"/>
        <v>536950</v>
      </c>
      <c r="G440" s="20"/>
      <c r="H440" s="22">
        <f t="shared" ref="H440:I444" si="16">SUM(H349,H362,H375,H388,H401,H414,H427)</f>
        <v>1014333.06</v>
      </c>
      <c r="I440" s="22">
        <v>0</v>
      </c>
      <c r="J440" s="19"/>
      <c r="K440" s="19">
        <v>0</v>
      </c>
    </row>
    <row r="441" spans="2:11" s="23" customFormat="1" ht="15" thickBot="1" x14ac:dyDescent="0.35">
      <c r="B441" s="103"/>
      <c r="C441" s="19" t="s">
        <v>19</v>
      </c>
      <c r="D441" s="20"/>
      <c r="E441" s="20">
        <f t="shared" si="14"/>
        <v>3886250</v>
      </c>
      <c r="F441" s="20">
        <f t="shared" si="14"/>
        <v>1098500</v>
      </c>
      <c r="G441" s="20"/>
      <c r="H441" s="22">
        <f t="shared" si="16"/>
        <v>1020772.76</v>
      </c>
      <c r="I441" s="19">
        <f t="shared" si="16"/>
        <v>16134.1</v>
      </c>
      <c r="J441" s="19"/>
      <c r="K441" s="19">
        <f>I441</f>
        <v>16134.1</v>
      </c>
    </row>
    <row r="442" spans="2:11" ht="15" thickBot="1" x14ac:dyDescent="0.35">
      <c r="B442" s="103"/>
      <c r="C442" s="56" t="s">
        <v>21</v>
      </c>
      <c r="D442" s="57"/>
      <c r="E442" s="57">
        <f t="shared" si="14"/>
        <v>0</v>
      </c>
      <c r="F442" s="57">
        <f t="shared" si="14"/>
        <v>0</v>
      </c>
      <c r="G442" s="57"/>
      <c r="H442" s="58">
        <v>0</v>
      </c>
      <c r="I442" s="58">
        <v>0</v>
      </c>
      <c r="J442" s="59"/>
      <c r="K442" s="59"/>
    </row>
    <row r="443" spans="2:11" s="17" customFormat="1" ht="15" thickBot="1" x14ac:dyDescent="0.35">
      <c r="B443" s="103"/>
      <c r="C443" s="14" t="s">
        <v>22</v>
      </c>
      <c r="D443" s="15"/>
      <c r="E443" s="15">
        <f t="shared" si="14"/>
        <v>716485</v>
      </c>
      <c r="F443" s="15">
        <f t="shared" si="14"/>
        <v>850500</v>
      </c>
      <c r="G443" s="15"/>
      <c r="H443" s="16">
        <v>328531.92</v>
      </c>
      <c r="I443" s="16">
        <v>0</v>
      </c>
      <c r="J443" s="14"/>
      <c r="K443" s="14"/>
    </row>
    <row r="444" spans="2:11" s="23" customFormat="1" ht="15" thickBot="1" x14ac:dyDescent="0.35">
      <c r="B444" s="103"/>
      <c r="C444" s="19" t="s">
        <v>23</v>
      </c>
      <c r="D444" s="20"/>
      <c r="E444" s="20">
        <f t="shared" si="14"/>
        <v>704550</v>
      </c>
      <c r="F444" s="20">
        <f t="shared" si="14"/>
        <v>460800</v>
      </c>
      <c r="G444" s="20"/>
      <c r="H444" s="22">
        <f t="shared" si="16"/>
        <v>416047.14000000007</v>
      </c>
      <c r="I444" s="22">
        <v>0</v>
      </c>
      <c r="J444" s="19"/>
      <c r="K444" s="19"/>
    </row>
    <row r="445" spans="2:11" s="17" customFormat="1" ht="29.4" thickBot="1" x14ac:dyDescent="0.35">
      <c r="B445" s="103"/>
      <c r="C445" s="14" t="s">
        <v>24</v>
      </c>
      <c r="D445" s="15"/>
      <c r="E445" s="15">
        <f t="shared" si="14"/>
        <v>276000</v>
      </c>
      <c r="F445" s="15">
        <f t="shared" si="14"/>
        <v>90000</v>
      </c>
      <c r="G445" s="15"/>
      <c r="H445" s="16">
        <v>45356</v>
      </c>
      <c r="I445" s="16">
        <v>0</v>
      </c>
      <c r="J445" s="14"/>
      <c r="K445" s="14"/>
    </row>
    <row r="446" spans="2:11" ht="15" thickBot="1" x14ac:dyDescent="0.35">
      <c r="B446" s="103"/>
      <c r="C446" s="56" t="s">
        <v>82</v>
      </c>
      <c r="D446" s="57"/>
      <c r="E446" s="57">
        <f t="shared" si="14"/>
        <v>0</v>
      </c>
      <c r="F446" s="57">
        <f t="shared" si="14"/>
        <v>0</v>
      </c>
      <c r="G446" s="57"/>
      <c r="H446" s="58">
        <v>0</v>
      </c>
      <c r="I446" s="58">
        <v>0</v>
      </c>
      <c r="J446" s="59"/>
      <c r="K446" s="59"/>
    </row>
    <row r="447" spans="2:11" ht="16.2" thickBot="1" x14ac:dyDescent="0.35">
      <c r="B447" s="104"/>
      <c r="C447" s="105" t="s">
        <v>26</v>
      </c>
      <c r="D447" s="106"/>
      <c r="E447" s="106">
        <f>SUM(E435:E446)</f>
        <v>8232435</v>
      </c>
      <c r="F447" s="106">
        <f>SUM(F435:F446)</f>
        <v>6726850</v>
      </c>
      <c r="G447" s="106"/>
      <c r="H447" s="81">
        <f>SUM(H435:H446)</f>
        <v>5642048.3399999999</v>
      </c>
      <c r="I447" s="81">
        <f>SUM(I435:I446)</f>
        <v>147832.88</v>
      </c>
      <c r="J447" s="59"/>
      <c r="K447" s="59"/>
    </row>
  </sheetData>
  <mergeCells count="37">
    <mergeCell ref="B435:B447"/>
    <mergeCell ref="B357:B369"/>
    <mergeCell ref="B370:B382"/>
    <mergeCell ref="B383:B395"/>
    <mergeCell ref="B396:B408"/>
    <mergeCell ref="B409:B421"/>
    <mergeCell ref="B422:B434"/>
    <mergeCell ref="B279:B291"/>
    <mergeCell ref="B292:B304"/>
    <mergeCell ref="B305:B317"/>
    <mergeCell ref="B318:B330"/>
    <mergeCell ref="B331:B343"/>
    <mergeCell ref="B344:B356"/>
    <mergeCell ref="B201:B213"/>
    <mergeCell ref="B214:B226"/>
    <mergeCell ref="B227:B239"/>
    <mergeCell ref="B240:B252"/>
    <mergeCell ref="B253:B265"/>
    <mergeCell ref="B266:B278"/>
    <mergeCell ref="B123:B135"/>
    <mergeCell ref="B136:B148"/>
    <mergeCell ref="B149:B161"/>
    <mergeCell ref="B162:B174"/>
    <mergeCell ref="B175:B187"/>
    <mergeCell ref="B188:B200"/>
    <mergeCell ref="B45:B57"/>
    <mergeCell ref="B58:B70"/>
    <mergeCell ref="B71:B83"/>
    <mergeCell ref="B84:B96"/>
    <mergeCell ref="B97:B109"/>
    <mergeCell ref="B110:B122"/>
    <mergeCell ref="B4:B5"/>
    <mergeCell ref="C4:C5"/>
    <mergeCell ref="J4:K4"/>
    <mergeCell ref="B6:B18"/>
    <mergeCell ref="B19:B31"/>
    <mergeCell ref="B32:B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KTPS</vt:lpstr>
      <vt:lpstr>Table 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Chief Engineer - RCD</dc:creator>
  <cp:lastModifiedBy>Chief Engineer - RCD</cp:lastModifiedBy>
  <dcterms:created xsi:type="dcterms:W3CDTF">2024-11-22T07:14:02Z</dcterms:created>
  <dcterms:modified xsi:type="dcterms:W3CDTF">2024-11-22T07:15:18Z</dcterms:modified>
</cp:coreProperties>
</file>